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 17" sheetId="3" r:id="rId3"/>
  </sheets>
  <definedNames/>
  <calcPr fullCalcOnLoad="1"/>
</workbook>
</file>

<file path=xl/sharedStrings.xml><?xml version="1.0" encoding="utf-8"?>
<sst xmlns="http://schemas.openxmlformats.org/spreadsheetml/2006/main" count="417" uniqueCount="149">
  <si>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</si>
  <si>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</si>
  <si>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</si>
  <si>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</si>
  <si>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</si>
  <si>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</si>
  <si>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</si>
  <si>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</si>
  <si>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</si>
  <si>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</si>
  <si>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</si>
  <si>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</si>
  <si>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</si>
  <si>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</si>
  <si>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</si>
  <si>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</si>
  <si>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</si>
  <si>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</si>
  <si>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</si>
  <si>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</si>
  <si>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</si>
  <si>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</si>
  <si>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</si>
  <si>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</si>
  <si>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</si>
  <si>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</si>
  <si>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</si>
  <si>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</si>
  <si>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</si>
  <si>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</si>
  <si>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</si>
  <si>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</si>
  <si>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</si>
  <si>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</si>
  <si>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</si>
  <si>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</si>
  <si>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</si>
  <si>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</si>
  <si>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</si>
  <si>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</si>
  <si>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</si>
  <si>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</si>
  <si>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</si>
  <si>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</si>
  <si>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</si>
  <si>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</si>
  <si>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</si>
  <si>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</si>
  <si>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</si>
  <si>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</si>
  <si>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</si>
  <si>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</si>
  <si>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</si>
  <si>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</si>
  <si>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</si>
  <si>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</si>
  <si>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</si>
  <si>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</si>
  <si>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</si>
  <si>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</si>
  <si>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</si>
  <si>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</si>
  <si>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</si>
  <si>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</si>
  <si>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</si>
  <si>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</si>
  <si>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</si>
  <si>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</si>
  <si>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</si>
  <si>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</si>
  <si>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</si>
  <si>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</si>
  <si>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</si>
  <si>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</si>
  <si>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</si>
  <si>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</si>
  <si>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</si>
  <si>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</si>
  <si>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</si>
  <si>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</si>
  <si>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</si>
  <si>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</si>
  <si>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</si>
  <si>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</si>
  <si>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</si>
  <si>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</si>
  <si>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</si>
  <si>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</si>
  <si>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</si>
  <si>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</si>
  <si>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</si>
  <si>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</si>
  <si>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</si>
  <si>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</si>
  <si>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</si>
  <si>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</si>
  <si>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</si>
  <si>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</si>
  <si>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</si>
  <si>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</si>
  <si>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</si>
  <si>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</si>
  <si>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</si>
  <si>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</si>
  <si>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</si>
  <si>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</si>
  <si>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</si>
  <si>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</si>
  <si>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</si>
  <si>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</si>
  <si>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</si>
  <si>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</si>
  <si>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</si>
  <si>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</si>
  <si>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</si>
  <si>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</si>
  <si>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</si>
  <si>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</si>
  <si>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</si>
  <si>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</si>
  <si>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</si>
  <si>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</si>
  <si>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</si>
  <si>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</si>
  <si>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</si>
  <si>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</si>
  <si>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</si>
  <si>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</si>
  <si>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</si>
  <si>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</si>
  <si>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</si>
  <si>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</si>
  <si>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</si>
  <si>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</si>
  <si>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</si>
  <si>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</si>
  <si>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</si>
  <si>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</si>
  <si>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</si>
  <si>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</si>
  <si>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</si>
  <si>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</si>
  <si>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</si>
  <si>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</si>
  <si>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</si>
  <si>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</si>
  <si>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</si>
  <si>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</si>
  <si>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06.03.17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</si>
</sst>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7" fillId="0" borderId="0" xfId="54" applyFont="1" applyAlignment="1" applyProtection="1">
      <alignment horizontal="right"/>
      <protection/>
    </xf>
    <xf numFmtId="0" fontId="6" fillId="38" borderId="10" xfId="54" applyFont="1" applyFill="1" applyBorder="1" applyAlignment="1" applyProtection="1">
      <alignment wrapText="1"/>
      <protection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4" fillId="13" borderId="18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5"/>
  <sheetViews>
    <sheetView tabSelected="1" zoomScale="79" zoomScaleNormal="7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38" t="s">
        <v>147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85"/>
      <c r="S1" s="86"/>
    </row>
    <row r="2" spans="2:19" s="1" customFormat="1" ht="15.75" customHeight="1">
      <c r="B2" s="239"/>
      <c r="C2" s="239"/>
      <c r="D2" s="239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40"/>
      <c r="B3" s="242"/>
      <c r="C3" s="243" t="s">
        <v>0</v>
      </c>
      <c r="D3" s="244" t="s">
        <v>138</v>
      </c>
      <c r="E3" s="31"/>
      <c r="F3" s="245" t="s">
        <v>26</v>
      </c>
      <c r="G3" s="246"/>
      <c r="H3" s="246"/>
      <c r="I3" s="246"/>
      <c r="J3" s="247"/>
      <c r="K3" s="82"/>
      <c r="L3" s="82"/>
      <c r="M3" s="82"/>
      <c r="N3" s="248" t="s">
        <v>143</v>
      </c>
      <c r="O3" s="251" t="s">
        <v>144</v>
      </c>
      <c r="P3" s="251"/>
      <c r="Q3" s="251"/>
      <c r="R3" s="251"/>
      <c r="S3" s="251"/>
    </row>
    <row r="4" spans="1:19" ht="22.5" customHeight="1">
      <c r="A4" s="240"/>
      <c r="B4" s="242"/>
      <c r="C4" s="243"/>
      <c r="D4" s="244"/>
      <c r="E4" s="252" t="s">
        <v>141</v>
      </c>
      <c r="F4" s="254" t="s">
        <v>33</v>
      </c>
      <c r="G4" s="256" t="s">
        <v>142</v>
      </c>
      <c r="H4" s="249" t="s">
        <v>134</v>
      </c>
      <c r="I4" s="256" t="s">
        <v>125</v>
      </c>
      <c r="J4" s="249" t="s">
        <v>126</v>
      </c>
      <c r="K4" s="84" t="s">
        <v>128</v>
      </c>
      <c r="L4" s="202" t="s">
        <v>111</v>
      </c>
      <c r="M4" s="89" t="s">
        <v>63</v>
      </c>
      <c r="N4" s="249"/>
      <c r="O4" s="258" t="s">
        <v>148</v>
      </c>
      <c r="P4" s="256" t="s">
        <v>49</v>
      </c>
      <c r="Q4" s="260" t="s">
        <v>48</v>
      </c>
      <c r="R4" s="90" t="s">
        <v>64</v>
      </c>
      <c r="S4" s="91" t="s">
        <v>63</v>
      </c>
    </row>
    <row r="5" spans="1:19" ht="67.5" customHeight="1">
      <c r="A5" s="241"/>
      <c r="B5" s="242"/>
      <c r="C5" s="243"/>
      <c r="D5" s="244"/>
      <c r="E5" s="253"/>
      <c r="F5" s="255"/>
      <c r="G5" s="257"/>
      <c r="H5" s="250"/>
      <c r="I5" s="257"/>
      <c r="J5" s="250"/>
      <c r="K5" s="261" t="s">
        <v>135</v>
      </c>
      <c r="L5" s="262"/>
      <c r="M5" s="263"/>
      <c r="N5" s="250"/>
      <c r="O5" s="259"/>
      <c r="P5" s="257"/>
      <c r="Q5" s="260"/>
      <c r="R5" s="261" t="s">
        <v>102</v>
      </c>
      <c r="S5" s="26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285439.5</v>
      </c>
      <c r="F8" s="149">
        <f>F9+F15+F18+F19+F20+F37+F17</f>
        <v>208374.14</v>
      </c>
      <c r="G8" s="149">
        <f aca="true" t="shared" si="0" ref="G8:G37">F8-E8</f>
        <v>-77065.35999999999</v>
      </c>
      <c r="H8" s="150">
        <f>F8/E8*100</f>
        <v>73.0011578635753</v>
      </c>
      <c r="I8" s="151">
        <f>F8-D8</f>
        <v>-1090076.96</v>
      </c>
      <c r="J8" s="151">
        <f>F8/D8*100</f>
        <v>16.04790045616658</v>
      </c>
      <c r="K8" s="149">
        <v>140423.02</v>
      </c>
      <c r="L8" s="149">
        <f aca="true" t="shared" si="1" ref="L8:L51">F8-K8</f>
        <v>67951.12000000002</v>
      </c>
      <c r="M8" s="203">
        <f aca="true" t="shared" si="2" ref="M8:M28">F8/K8</f>
        <v>1.4839029953920662</v>
      </c>
      <c r="N8" s="149">
        <f>N9+N15+N18+N19+N20+N17</f>
        <v>89194</v>
      </c>
      <c r="O8" s="149">
        <f>O9+O15+O18+O19+O20+O17</f>
        <v>13542.66999999999</v>
      </c>
      <c r="P8" s="149">
        <f>O8-N8</f>
        <v>-75651.33000000002</v>
      </c>
      <c r="Q8" s="149">
        <f>O8/N8*100</f>
        <v>15.18338677489516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159160</v>
      </c>
      <c r="F9" s="154">
        <v>112550.29</v>
      </c>
      <c r="G9" s="148">
        <f t="shared" si="0"/>
        <v>-46609.71000000001</v>
      </c>
      <c r="H9" s="155">
        <f>F9/E9*100</f>
        <v>70.71518597637598</v>
      </c>
      <c r="I9" s="156">
        <f>F9-D9</f>
        <v>-654094.71</v>
      </c>
      <c r="J9" s="156">
        <f>F9/D9*100</f>
        <v>14.680887503342484</v>
      </c>
      <c r="K9" s="225">
        <v>70324.6</v>
      </c>
      <c r="L9" s="157">
        <f t="shared" si="1"/>
        <v>42225.68999999999</v>
      </c>
      <c r="M9" s="204">
        <f t="shared" si="2"/>
        <v>1.6004398176456032</v>
      </c>
      <c r="N9" s="155">
        <f>E9-лютий!E9</f>
        <v>56960</v>
      </c>
      <c r="O9" s="158">
        <f>F9-лютий!F9</f>
        <v>10664.349999999991</v>
      </c>
      <c r="P9" s="159">
        <f>O9-N9</f>
        <v>-46295.65000000001</v>
      </c>
      <c r="Q9" s="156">
        <f>O9/N9*100</f>
        <v>18.72252457865167</v>
      </c>
      <c r="R9" s="99"/>
      <c r="S9" s="100"/>
      <c r="T9" s="145">
        <f>D9-E9</f>
        <v>607485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143812</v>
      </c>
      <c r="F10" s="138">
        <v>103121.2</v>
      </c>
      <c r="G10" s="102">
        <f t="shared" si="0"/>
        <v>-40690.8</v>
      </c>
      <c r="H10" s="29">
        <f aca="true" t="shared" si="3" ref="H10:H36">F10/E10*100</f>
        <v>71.7055600367146</v>
      </c>
      <c r="I10" s="103">
        <f aca="true" t="shared" si="4" ref="I10:I37">F10-D10</f>
        <v>-598195.8</v>
      </c>
      <c r="J10" s="103">
        <f aca="true" t="shared" si="5" ref="J10:J36">F10/D10*100</f>
        <v>14.703935595458258</v>
      </c>
      <c r="K10" s="105">
        <v>62213.95</v>
      </c>
      <c r="L10" s="105">
        <f t="shared" si="1"/>
        <v>40907.25</v>
      </c>
      <c r="M10" s="205">
        <f t="shared" si="2"/>
        <v>1.6575253620771548</v>
      </c>
      <c r="N10" s="104">
        <f>E10-лютий!E10</f>
        <v>51464</v>
      </c>
      <c r="O10" s="142">
        <f>F10-лютий!F10</f>
        <v>10394.559999999998</v>
      </c>
      <c r="P10" s="105">
        <f aca="true" t="shared" si="6" ref="P10:P37">O10-N10</f>
        <v>-41069.44</v>
      </c>
      <c r="Q10" s="103">
        <f aca="true" t="shared" si="7" ref="Q10:Q24">O10/N10*100</f>
        <v>20.19773045235504</v>
      </c>
      <c r="R10" s="36"/>
      <c r="S10" s="93"/>
      <c r="T10" s="145">
        <f aca="true" t="shared" si="8" ref="T10:T73">D10-E10</f>
        <v>557505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5898.29</v>
      </c>
      <c r="G11" s="102">
        <f t="shared" si="0"/>
        <v>-4901.71</v>
      </c>
      <c r="H11" s="29">
        <f t="shared" si="3"/>
        <v>54.61379629629629</v>
      </c>
      <c r="I11" s="103">
        <f t="shared" si="4"/>
        <v>-40607.71</v>
      </c>
      <c r="J11" s="103">
        <f t="shared" si="5"/>
        <v>12.682858125833226</v>
      </c>
      <c r="K11" s="105">
        <v>5319.16</v>
      </c>
      <c r="L11" s="105">
        <f t="shared" si="1"/>
        <v>579.1300000000001</v>
      </c>
      <c r="M11" s="205">
        <f t="shared" si="2"/>
        <v>1.108876213537476</v>
      </c>
      <c r="N11" s="104">
        <f>E11-лютий!E11</f>
        <v>3600</v>
      </c>
      <c r="O11" s="142">
        <f>F11-лютий!F11</f>
        <v>3.0299999999997453</v>
      </c>
      <c r="P11" s="105">
        <f t="shared" si="6"/>
        <v>-3596.9700000000003</v>
      </c>
      <c r="Q11" s="103">
        <f t="shared" si="7"/>
        <v>0.0841666666666596</v>
      </c>
      <c r="R11" s="36"/>
      <c r="S11" s="93"/>
      <c r="T11" s="145">
        <f t="shared" si="8"/>
        <v>35706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1186.67</v>
      </c>
      <c r="G12" s="102">
        <f t="shared" si="0"/>
        <v>-553.3299999999999</v>
      </c>
      <c r="H12" s="29">
        <f t="shared" si="3"/>
        <v>68.19942528735633</v>
      </c>
      <c r="I12" s="103">
        <f t="shared" si="4"/>
        <v>-7093.33</v>
      </c>
      <c r="J12" s="103">
        <f t="shared" si="5"/>
        <v>14.331763285024154</v>
      </c>
      <c r="K12" s="105">
        <v>822.03</v>
      </c>
      <c r="L12" s="105">
        <f t="shared" si="1"/>
        <v>364.6400000000001</v>
      </c>
      <c r="M12" s="205">
        <f t="shared" si="2"/>
        <v>1.443584784010316</v>
      </c>
      <c r="N12" s="104">
        <f>E12-лютий!E12</f>
        <v>900</v>
      </c>
      <c r="O12" s="142">
        <f>F12-лютий!F12</f>
        <v>149.25</v>
      </c>
      <c r="P12" s="105">
        <f t="shared" si="6"/>
        <v>-750.75</v>
      </c>
      <c r="Q12" s="103">
        <f t="shared" si="7"/>
        <v>16.583333333333332</v>
      </c>
      <c r="R12" s="36"/>
      <c r="S12" s="93"/>
      <c r="T12" s="145">
        <f t="shared" si="8"/>
        <v>6540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2121.99</v>
      </c>
      <c r="G13" s="102">
        <f t="shared" si="0"/>
        <v>-398.0100000000002</v>
      </c>
      <c r="H13" s="29">
        <f t="shared" si="3"/>
        <v>84.20595238095238</v>
      </c>
      <c r="I13" s="103">
        <f t="shared" si="4"/>
        <v>-7268.01</v>
      </c>
      <c r="J13" s="103">
        <f t="shared" si="5"/>
        <v>22.59840255591054</v>
      </c>
      <c r="K13" s="105">
        <v>1514.49</v>
      </c>
      <c r="L13" s="105">
        <f t="shared" si="1"/>
        <v>607.4999999999998</v>
      </c>
      <c r="M13" s="205">
        <f t="shared" si="2"/>
        <v>1.4011251312322959</v>
      </c>
      <c r="N13" s="104">
        <f>E13-лютий!E13</f>
        <v>900</v>
      </c>
      <c r="O13" s="142">
        <f>F13-лютий!F13</f>
        <v>93.66999999999985</v>
      </c>
      <c r="P13" s="105">
        <f t="shared" si="6"/>
        <v>-806.3300000000002</v>
      </c>
      <c r="Q13" s="103">
        <f t="shared" si="7"/>
        <v>10.40777777777776</v>
      </c>
      <c r="R13" s="36"/>
      <c r="S13" s="93"/>
      <c r="T13" s="145">
        <f t="shared" si="8"/>
        <v>6870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222.14</v>
      </c>
      <c r="G14" s="102">
        <f t="shared" si="0"/>
        <v>-65.86000000000001</v>
      </c>
      <c r="H14" s="29">
        <f t="shared" si="3"/>
        <v>77.13194444444444</v>
      </c>
      <c r="I14" s="103">
        <f t="shared" si="4"/>
        <v>-929.86</v>
      </c>
      <c r="J14" s="103">
        <f t="shared" si="5"/>
        <v>19.28298611111111</v>
      </c>
      <c r="K14" s="105">
        <v>454.97</v>
      </c>
      <c r="L14" s="105">
        <f t="shared" si="1"/>
        <v>-232.83000000000004</v>
      </c>
      <c r="M14" s="205">
        <f t="shared" si="2"/>
        <v>0.4882519726575378</v>
      </c>
      <c r="N14" s="104">
        <f>E14-лютий!E14</f>
        <v>96</v>
      </c>
      <c r="O14" s="142">
        <f>F14-лютий!F14</f>
        <v>23.829999999999984</v>
      </c>
      <c r="P14" s="105">
        <f t="shared" si="6"/>
        <v>-72.17000000000002</v>
      </c>
      <c r="Q14" s="103">
        <f t="shared" si="7"/>
        <v>24.82291666666665</v>
      </c>
      <c r="R14" s="36"/>
      <c r="S14" s="93"/>
      <c r="T14" s="145">
        <f t="shared" si="8"/>
        <v>864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-376.09</v>
      </c>
      <c r="G15" s="148">
        <f t="shared" si="0"/>
        <v>-547.0899999999999</v>
      </c>
      <c r="H15" s="155">
        <f>F15/E15/100</f>
        <v>-0.021993567251461985</v>
      </c>
      <c r="I15" s="156">
        <f t="shared" si="4"/>
        <v>-927.0899999999999</v>
      </c>
      <c r="J15" s="156">
        <f t="shared" si="5"/>
        <v>-68.25589836660617</v>
      </c>
      <c r="K15" s="159">
        <v>85.14</v>
      </c>
      <c r="L15" s="159">
        <f t="shared" si="1"/>
        <v>-461.22999999999996</v>
      </c>
      <c r="M15" s="206">
        <f t="shared" si="2"/>
        <v>-4.417312661498707</v>
      </c>
      <c r="N15" s="162">
        <f>E15-лютий!E15</f>
        <v>120</v>
      </c>
      <c r="O15" s="166">
        <f>F15-лютий!F15</f>
        <v>-390</v>
      </c>
      <c r="P15" s="159">
        <f t="shared" si="6"/>
        <v>-510</v>
      </c>
      <c r="Q15" s="156">
        <f t="shared" si="7"/>
        <v>-325</v>
      </c>
      <c r="R15" s="36"/>
      <c r="S15" s="93"/>
      <c r="T15" s="145">
        <f t="shared" si="8"/>
        <v>380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F18/E18/100</f>
        <v>0.016922857142857142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 t="e">
        <f t="shared" si="7"/>
        <v>#DIV/0!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27800</v>
      </c>
      <c r="F19" s="154">
        <v>13982.17</v>
      </c>
      <c r="G19" s="148">
        <f t="shared" si="0"/>
        <v>-13817.83</v>
      </c>
      <c r="H19" s="155">
        <f t="shared" si="3"/>
        <v>50.29557553956835</v>
      </c>
      <c r="I19" s="156">
        <f t="shared" si="4"/>
        <v>-116017.83</v>
      </c>
      <c r="J19" s="156">
        <f t="shared" si="5"/>
        <v>10.755515384615384</v>
      </c>
      <c r="K19" s="167">
        <v>10861</v>
      </c>
      <c r="L19" s="159">
        <f t="shared" si="1"/>
        <v>3121.17</v>
      </c>
      <c r="M19" s="211">
        <f t="shared" si="2"/>
        <v>1.2873740907835374</v>
      </c>
      <c r="N19" s="162">
        <f>E19-лютий!E19</f>
        <v>9800</v>
      </c>
      <c r="O19" s="166">
        <f>F19-лютий!F19</f>
        <v>276.2600000000002</v>
      </c>
      <c r="P19" s="159">
        <f t="shared" si="6"/>
        <v>-9523.74</v>
      </c>
      <c r="Q19" s="156">
        <f t="shared" si="7"/>
        <v>2.8189795918367366</v>
      </c>
      <c r="R19" s="106"/>
      <c r="S19" s="107"/>
      <c r="T19" s="145">
        <f t="shared" si="8"/>
        <v>102200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98238.5</v>
      </c>
      <c r="F20" s="221">
        <f>F21+F29+F30+F31+F32</f>
        <v>82099.31</v>
      </c>
      <c r="G20" s="148">
        <f t="shared" si="0"/>
        <v>-16139.190000000002</v>
      </c>
      <c r="H20" s="155">
        <f t="shared" si="3"/>
        <v>83.57142057340045</v>
      </c>
      <c r="I20" s="156">
        <f t="shared" si="4"/>
        <v>-319030.79</v>
      </c>
      <c r="J20" s="156">
        <f t="shared" si="5"/>
        <v>20.46700309949316</v>
      </c>
      <c r="K20" s="156">
        <v>59046.44</v>
      </c>
      <c r="L20" s="159">
        <f t="shared" si="1"/>
        <v>23052.869999999995</v>
      </c>
      <c r="M20" s="207">
        <f t="shared" si="2"/>
        <v>1.390419303856422</v>
      </c>
      <c r="N20" s="155">
        <f>E20-лютий!E20</f>
        <v>22314</v>
      </c>
      <c r="O20" s="158">
        <f>F20-лютий!F20</f>
        <v>2992.0599999999977</v>
      </c>
      <c r="P20" s="159">
        <f t="shared" si="6"/>
        <v>-19321.940000000002</v>
      </c>
      <c r="Q20" s="156">
        <f t="shared" si="7"/>
        <v>13.408891279017645</v>
      </c>
      <c r="R20" s="106"/>
      <c r="S20" s="107"/>
      <c r="T20" s="145">
        <f t="shared" si="8"/>
        <v>302891.6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47840.8</v>
      </c>
      <c r="F21" s="168">
        <f>F22+F25+F26</f>
        <v>33248.2</v>
      </c>
      <c r="G21" s="148">
        <f t="shared" si="0"/>
        <v>-14592.600000000006</v>
      </c>
      <c r="H21" s="155">
        <f t="shared" si="3"/>
        <v>69.49758365244728</v>
      </c>
      <c r="I21" s="156">
        <f t="shared" si="4"/>
        <v>-173372.8</v>
      </c>
      <c r="J21" s="156">
        <f t="shared" si="5"/>
        <v>16.091394388760097</v>
      </c>
      <c r="K21" s="156">
        <v>25484.06</v>
      </c>
      <c r="L21" s="159">
        <f t="shared" si="1"/>
        <v>7764.139999999996</v>
      </c>
      <c r="M21" s="207">
        <f t="shared" si="2"/>
        <v>1.3046665248786886</v>
      </c>
      <c r="N21" s="155">
        <f>E21-лютий!E21</f>
        <v>15760.000000000004</v>
      </c>
      <c r="O21" s="158">
        <f>F21-лютий!F21</f>
        <v>1793.1499999999978</v>
      </c>
      <c r="P21" s="159">
        <f t="shared" si="6"/>
        <v>-13966.850000000006</v>
      </c>
      <c r="Q21" s="156">
        <f t="shared" si="7"/>
        <v>11.377855329949222</v>
      </c>
      <c r="R21" s="106"/>
      <c r="S21" s="107"/>
      <c r="T21" s="145">
        <f t="shared" si="8"/>
        <v>158780.2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4950</v>
      </c>
      <c r="F22" s="170">
        <v>4436.93</v>
      </c>
      <c r="G22" s="169">
        <f t="shared" si="0"/>
        <v>-513.0699999999997</v>
      </c>
      <c r="H22" s="171">
        <f t="shared" si="3"/>
        <v>89.6349494949495</v>
      </c>
      <c r="I22" s="172">
        <f t="shared" si="4"/>
        <v>-18372.07</v>
      </c>
      <c r="J22" s="172">
        <f t="shared" si="5"/>
        <v>19.452540663773075</v>
      </c>
      <c r="K22" s="173">
        <v>3552.77</v>
      </c>
      <c r="L22" s="164">
        <f t="shared" si="1"/>
        <v>884.1600000000003</v>
      </c>
      <c r="M22" s="213">
        <f t="shared" si="2"/>
        <v>1.248864970150052</v>
      </c>
      <c r="N22" s="193">
        <f>E22-лютий!E22</f>
        <v>575</v>
      </c>
      <c r="O22" s="177">
        <f>F22-лютий!F22</f>
        <v>28.720000000000255</v>
      </c>
      <c r="P22" s="175">
        <f t="shared" si="6"/>
        <v>-546.2799999999997</v>
      </c>
      <c r="Q22" s="172">
        <f t="shared" si="7"/>
        <v>4.994782608695696</v>
      </c>
      <c r="R22" s="106"/>
      <c r="S22" s="107"/>
      <c r="T22" s="145">
        <f t="shared" si="8"/>
        <v>17859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250</v>
      </c>
      <c r="F23" s="161">
        <v>150.48</v>
      </c>
      <c r="G23" s="196">
        <f t="shared" si="0"/>
        <v>-99.52000000000001</v>
      </c>
      <c r="H23" s="197">
        <f t="shared" si="3"/>
        <v>60.192</v>
      </c>
      <c r="I23" s="198">
        <f t="shared" si="4"/>
        <v>-1671.82</v>
      </c>
      <c r="J23" s="198">
        <f t="shared" si="5"/>
        <v>8.257696317840093</v>
      </c>
      <c r="K23" s="198">
        <v>146.88</v>
      </c>
      <c r="L23" s="198">
        <f t="shared" si="1"/>
        <v>3.5999999999999943</v>
      </c>
      <c r="M23" s="226">
        <f t="shared" si="2"/>
        <v>1.0245098039215685</v>
      </c>
      <c r="N23" s="234">
        <f>E23-лютий!E23</f>
        <v>55</v>
      </c>
      <c r="O23" s="234">
        <f>F23-лютий!F23</f>
        <v>0.25</v>
      </c>
      <c r="P23" s="198">
        <f t="shared" si="6"/>
        <v>-54.75</v>
      </c>
      <c r="Q23" s="198">
        <f t="shared" si="7"/>
        <v>0.45454545454545453</v>
      </c>
      <c r="R23" s="106"/>
      <c r="S23" s="107"/>
      <c r="T23" s="145">
        <f t="shared" si="8"/>
        <v>1572.3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4700</v>
      </c>
      <c r="F24" s="161">
        <v>4286.46</v>
      </c>
      <c r="G24" s="196">
        <f t="shared" si="0"/>
        <v>-413.53999999999996</v>
      </c>
      <c r="H24" s="197">
        <f t="shared" si="3"/>
        <v>91.20127659574469</v>
      </c>
      <c r="I24" s="198">
        <f t="shared" si="4"/>
        <v>-16700.24</v>
      </c>
      <c r="J24" s="198">
        <f t="shared" si="5"/>
        <v>20.42464989731592</v>
      </c>
      <c r="K24" s="198">
        <v>3405.89</v>
      </c>
      <c r="L24" s="198">
        <f t="shared" si="1"/>
        <v>880.5700000000002</v>
      </c>
      <c r="M24" s="226">
        <f t="shared" si="2"/>
        <v>1.258543288244776</v>
      </c>
      <c r="N24" s="234">
        <f>E24-лютий!E24</f>
        <v>520</v>
      </c>
      <c r="O24" s="234">
        <f>F24-лютий!F24</f>
        <v>28.480000000000473</v>
      </c>
      <c r="P24" s="198">
        <f t="shared" si="6"/>
        <v>-491.5199999999995</v>
      </c>
      <c r="Q24" s="198">
        <f t="shared" si="7"/>
        <v>5.476923076923168</v>
      </c>
      <c r="R24" s="106"/>
      <c r="S24" s="107"/>
      <c r="T24" s="145">
        <f t="shared" si="8"/>
        <v>16286.7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55.8</v>
      </c>
      <c r="F25" s="170">
        <v>79.17</v>
      </c>
      <c r="G25" s="169">
        <f t="shared" si="0"/>
        <v>23.370000000000005</v>
      </c>
      <c r="H25" s="171">
        <f t="shared" si="3"/>
        <v>141.88172043010755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E25-лютий!E25</f>
        <v>5</v>
      </c>
      <c r="O25" s="177">
        <f>F25-лютий!F25</f>
        <v>0</v>
      </c>
      <c r="P25" s="175">
        <f t="shared" si="6"/>
        <v>-5</v>
      </c>
      <c r="Q25" s="172">
        <f>O25/N25*100</f>
        <v>0</v>
      </c>
      <c r="R25" s="106"/>
      <c r="S25" s="107"/>
      <c r="T25" s="145">
        <f t="shared" si="8"/>
        <v>764.2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42835</v>
      </c>
      <c r="F26" s="170">
        <v>28732.1</v>
      </c>
      <c r="G26" s="169">
        <f t="shared" si="0"/>
        <v>-14102.900000000001</v>
      </c>
      <c r="H26" s="171">
        <f t="shared" si="3"/>
        <v>67.07622271506945</v>
      </c>
      <c r="I26" s="172">
        <f t="shared" si="4"/>
        <v>-154259.9</v>
      </c>
      <c r="J26" s="172">
        <f t="shared" si="5"/>
        <v>15.701287487977616</v>
      </c>
      <c r="K26" s="173">
        <v>21757.07</v>
      </c>
      <c r="L26" s="173">
        <f t="shared" si="1"/>
        <v>6975.029999999999</v>
      </c>
      <c r="M26" s="209">
        <f t="shared" si="2"/>
        <v>1.3205868253399928</v>
      </c>
      <c r="N26" s="193">
        <f>E26-лютий!E26</f>
        <v>15180</v>
      </c>
      <c r="O26" s="177">
        <f>F26-лютий!F26</f>
        <v>1764.4300000000003</v>
      </c>
      <c r="P26" s="175">
        <f t="shared" si="6"/>
        <v>-13415.57</v>
      </c>
      <c r="Q26" s="172">
        <f>O26/N26*100</f>
        <v>11.623386034255603</v>
      </c>
      <c r="R26" s="106"/>
      <c r="S26" s="107"/>
      <c r="T26" s="145">
        <f t="shared" si="8"/>
        <v>140157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12830</v>
      </c>
      <c r="F27" s="161">
        <v>9457.04</v>
      </c>
      <c r="G27" s="196">
        <f t="shared" si="0"/>
        <v>-3372.959999999999</v>
      </c>
      <c r="H27" s="197">
        <f t="shared" si="3"/>
        <v>73.7103663289166</v>
      </c>
      <c r="I27" s="198">
        <f t="shared" si="4"/>
        <v>-48075.96</v>
      </c>
      <c r="J27" s="198">
        <f t="shared" si="5"/>
        <v>16.43759233831019</v>
      </c>
      <c r="K27" s="198">
        <v>6708.33</v>
      </c>
      <c r="L27" s="198">
        <f t="shared" si="1"/>
        <v>2748.710000000001</v>
      </c>
      <c r="M27" s="226">
        <f t="shared" si="2"/>
        <v>1.4097457936625064</v>
      </c>
      <c r="N27" s="234">
        <f>E27-лютий!E27</f>
        <v>4650</v>
      </c>
      <c r="O27" s="234">
        <f>F27-лютий!F27</f>
        <v>597.8300000000017</v>
      </c>
      <c r="P27" s="198">
        <f t="shared" si="6"/>
        <v>-4052.1699999999983</v>
      </c>
      <c r="Q27" s="198">
        <f>O27/N27*100</f>
        <v>12.856559139784984</v>
      </c>
      <c r="R27" s="106"/>
      <c r="S27" s="107"/>
      <c r="T27" s="145">
        <f t="shared" si="8"/>
        <v>44703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30005</v>
      </c>
      <c r="F28" s="161">
        <v>19275.06</v>
      </c>
      <c r="G28" s="196">
        <f t="shared" si="0"/>
        <v>-10729.939999999999</v>
      </c>
      <c r="H28" s="197">
        <f t="shared" si="3"/>
        <v>64.23949341776371</v>
      </c>
      <c r="I28" s="198">
        <f t="shared" si="4"/>
        <v>-106183.94</v>
      </c>
      <c r="J28" s="198">
        <f t="shared" si="5"/>
        <v>15.363632740576605</v>
      </c>
      <c r="K28" s="198">
        <v>15048.75</v>
      </c>
      <c r="L28" s="198">
        <f t="shared" si="1"/>
        <v>4226.310000000001</v>
      </c>
      <c r="M28" s="226">
        <f t="shared" si="2"/>
        <v>1.280841265885871</v>
      </c>
      <c r="N28" s="234">
        <f>E28-лютий!E28</f>
        <v>10530</v>
      </c>
      <c r="O28" s="234">
        <f>F28-лютий!F28</f>
        <v>1166.6000000000022</v>
      </c>
      <c r="P28" s="198">
        <f t="shared" si="6"/>
        <v>-9363.399999999998</v>
      </c>
      <c r="Q28" s="198">
        <f>O28/N28*100</f>
        <v>11.078822412155766</v>
      </c>
      <c r="R28" s="106"/>
      <c r="S28" s="107"/>
      <c r="T28" s="145">
        <f t="shared" si="8"/>
        <v>95454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E29-лютий!E29</f>
        <v>0</v>
      </c>
      <c r="O29" s="158">
        <f>F29-лютий!F29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19</v>
      </c>
      <c r="F30" s="154">
        <v>34.2</v>
      </c>
      <c r="G30" s="148">
        <f t="shared" si="0"/>
        <v>15.200000000000003</v>
      </c>
      <c r="H30" s="155">
        <f t="shared" si="3"/>
        <v>180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E30-лютий!E30</f>
        <v>4</v>
      </c>
      <c r="O30" s="158">
        <f>F30-лютий!F30</f>
        <v>0</v>
      </c>
      <c r="P30" s="159">
        <f t="shared" si="6"/>
        <v>-4</v>
      </c>
      <c r="Q30" s="156">
        <f>O30/N30*100</f>
        <v>0</v>
      </c>
      <c r="R30" s="106"/>
      <c r="S30" s="107"/>
      <c r="T30" s="145">
        <f t="shared" si="8"/>
        <v>96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-10.18</v>
      </c>
      <c r="G31" s="148">
        <f t="shared" si="0"/>
        <v>-10.18</v>
      </c>
      <c r="H31" s="155"/>
      <c r="I31" s="156">
        <f t="shared" si="4"/>
        <v>-10.18</v>
      </c>
      <c r="J31" s="156"/>
      <c r="K31" s="156">
        <v>-52.93</v>
      </c>
      <c r="L31" s="156">
        <f t="shared" si="1"/>
        <v>42.75</v>
      </c>
      <c r="M31" s="208">
        <f>F31/K31</f>
        <v>0.19232949178159833</v>
      </c>
      <c r="N31" s="155">
        <f>E31-лютий!E31</f>
        <v>0</v>
      </c>
      <c r="O31" s="158">
        <f>F31-лютий!F31</f>
        <v>0.5800000000000001</v>
      </c>
      <c r="P31" s="159">
        <f t="shared" si="6"/>
        <v>0.5800000000000001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50378.7</v>
      </c>
      <c r="F32" s="161">
        <v>48826.89</v>
      </c>
      <c r="G32" s="160">
        <f t="shared" si="0"/>
        <v>-1551.8099999999977</v>
      </c>
      <c r="H32" s="162">
        <f t="shared" si="3"/>
        <v>96.91971011558456</v>
      </c>
      <c r="I32" s="163">
        <f t="shared" si="4"/>
        <v>-145567.21000000002</v>
      </c>
      <c r="J32" s="163">
        <f t="shared" si="5"/>
        <v>25.117475273169298</v>
      </c>
      <c r="K32" s="176">
        <v>33594.51</v>
      </c>
      <c r="L32" s="176">
        <f>F32-K32</f>
        <v>15232.379999999997</v>
      </c>
      <c r="M32" s="224">
        <f>F32/K32</f>
        <v>1.4534187282386317</v>
      </c>
      <c r="N32" s="155">
        <f>E32-лютий!E32</f>
        <v>6550</v>
      </c>
      <c r="O32" s="158">
        <f>F32-лютий!F32</f>
        <v>1198.3300000000017</v>
      </c>
      <c r="P32" s="165">
        <f t="shared" si="6"/>
        <v>-5351.669999999998</v>
      </c>
      <c r="Q32" s="163">
        <f>O32/N32*100</f>
        <v>18.29511450381682</v>
      </c>
      <c r="R32" s="106"/>
      <c r="S32" s="107"/>
      <c r="T32" s="145">
        <f t="shared" si="8"/>
        <v>144015.40000000002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9" ref="M33:M39">F33/K33</f>
        <v>0</v>
      </c>
      <c r="N33" s="104">
        <f>E33-лютий!E33</f>
        <v>0</v>
      </c>
      <c r="O33" s="142">
        <f>F33-лютий!F33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10160</v>
      </c>
      <c r="F34" s="138">
        <v>9897.45</v>
      </c>
      <c r="G34" s="102">
        <f t="shared" si="0"/>
        <v>-262.5499999999993</v>
      </c>
      <c r="H34" s="104">
        <f t="shared" si="3"/>
        <v>97.41584645669292</v>
      </c>
      <c r="I34" s="103">
        <f t="shared" si="4"/>
        <v>-31102.55</v>
      </c>
      <c r="J34" s="103">
        <f t="shared" si="5"/>
        <v>24.140121951219516</v>
      </c>
      <c r="K34" s="126">
        <v>8679.27</v>
      </c>
      <c r="L34" s="126">
        <f t="shared" si="1"/>
        <v>1218.1800000000003</v>
      </c>
      <c r="M34" s="214">
        <f t="shared" si="9"/>
        <v>1.1403551220321524</v>
      </c>
      <c r="N34" s="104">
        <f>E34-лютий!E34</f>
        <v>1050</v>
      </c>
      <c r="O34" s="142">
        <f>F34-лютий!F34</f>
        <v>141.5</v>
      </c>
      <c r="P34" s="105">
        <f t="shared" si="6"/>
        <v>-908.5</v>
      </c>
      <c r="Q34" s="103">
        <f>O34/N34*100</f>
        <v>13.476190476190474</v>
      </c>
      <c r="R34" s="106"/>
      <c r="S34" s="107"/>
      <c r="T34" s="145">
        <f t="shared" si="8"/>
        <v>30840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40200</v>
      </c>
      <c r="F35" s="138">
        <v>38913.33</v>
      </c>
      <c r="G35" s="102">
        <f t="shared" si="0"/>
        <v>-1286.6699999999983</v>
      </c>
      <c r="H35" s="104">
        <f t="shared" si="3"/>
        <v>96.79932835820895</v>
      </c>
      <c r="I35" s="103">
        <f t="shared" si="4"/>
        <v>-114425.77</v>
      </c>
      <c r="J35" s="103">
        <f t="shared" si="5"/>
        <v>25.37730428833872</v>
      </c>
      <c r="K35" s="126">
        <v>24907.67</v>
      </c>
      <c r="L35" s="126">
        <f t="shared" si="1"/>
        <v>14005.660000000003</v>
      </c>
      <c r="M35" s="214">
        <f t="shared" si="9"/>
        <v>1.5623030978007981</v>
      </c>
      <c r="N35" s="104">
        <f>E35-лютий!E35</f>
        <v>5500</v>
      </c>
      <c r="O35" s="142">
        <f>F35-лютий!F35</f>
        <v>1056.8300000000017</v>
      </c>
      <c r="P35" s="105">
        <f t="shared" si="6"/>
        <v>-4443.169999999998</v>
      </c>
      <c r="Q35" s="103">
        <f>O35/N35*100</f>
        <v>19.21509090909094</v>
      </c>
      <c r="R35" s="106"/>
      <c r="S35" s="107"/>
      <c r="T35" s="145">
        <f t="shared" si="8"/>
        <v>113139.1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9"/>
        <v>2.15086782376502</v>
      </c>
      <c r="N36" s="104">
        <f>E36-лютий!E36</f>
        <v>0</v>
      </c>
      <c r="O36" s="142">
        <f>F36-лютий!F36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9"/>
        <v>#DIV/0!</v>
      </c>
      <c r="N37" s="155">
        <f>E37-лютий!E37</f>
        <v>0</v>
      </c>
      <c r="O37" s="158">
        <f>F37-лютий!F37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12913.7</v>
      </c>
      <c r="F38" s="149">
        <f>F39+F40+F41+F42+F43+F45+F47+F48+F49+F50+F51+F56+F57+F61+F44</f>
        <v>11878.07</v>
      </c>
      <c r="G38" s="149">
        <f>G39+G40+G41+G42+G43+G45+G47+G48+G49+G50+G51+G56+G57+G61</f>
        <v>-1008.4399999999999</v>
      </c>
      <c r="H38" s="150">
        <f>F38/E38*100</f>
        <v>91.9803774286223</v>
      </c>
      <c r="I38" s="151">
        <f>F38-D38</f>
        <v>-47146.93</v>
      </c>
      <c r="J38" s="151">
        <f>F38/D38*100</f>
        <v>20.12379500211775</v>
      </c>
      <c r="K38" s="149">
        <v>4916.44</v>
      </c>
      <c r="L38" s="149">
        <f t="shared" si="1"/>
        <v>6961.63</v>
      </c>
      <c r="M38" s="203">
        <f t="shared" si="9"/>
        <v>2.4159900253028614</v>
      </c>
      <c r="N38" s="149">
        <f>N39+N40+N41+N42+N43+N45+N47+N48+N49+N50+N51+N56+N57+N61+N44</f>
        <v>5139.6</v>
      </c>
      <c r="O38" s="149">
        <f>O39+O40+O41+O42+O43+O45+O47+O48+O49+O50+O51+O56+O57+O61+O44</f>
        <v>3186.44</v>
      </c>
      <c r="P38" s="149">
        <f>P39+P40+P41+P42+P43+P45+P47+P48+P49+P50+P51+P56+P57+P61</f>
        <v>-1939.57</v>
      </c>
      <c r="Q38" s="149">
        <f>O38/N38*100</f>
        <v>61.99782084208888</v>
      </c>
      <c r="R38" s="15" t="e">
        <f>#N/A</f>
        <v>#N/A</v>
      </c>
      <c r="S38" s="15" t="e">
        <f>#N/A</f>
        <v>#N/A</v>
      </c>
      <c r="T38" s="145">
        <f t="shared" si="8"/>
        <v>46111.3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-186.82</v>
      </c>
      <c r="G39" s="160">
        <f>F39-E39</f>
        <v>-266.82</v>
      </c>
      <c r="H39" s="162"/>
      <c r="I39" s="163">
        <f>F39-D39</f>
        <v>-766.8199999999999</v>
      </c>
      <c r="J39" s="163">
        <f>F39/D39*100</f>
        <v>-32.210344827586205</v>
      </c>
      <c r="K39" s="163">
        <v>78.05</v>
      </c>
      <c r="L39" s="163">
        <f t="shared" si="1"/>
        <v>-264.87</v>
      </c>
      <c r="M39" s="216">
        <f t="shared" si="9"/>
        <v>-2.3935938500960923</v>
      </c>
      <c r="N39" s="162">
        <f>E39-лютий!E39</f>
        <v>0</v>
      </c>
      <c r="O39" s="166">
        <f>F39-лютий!F39</f>
        <v>-196</v>
      </c>
      <c r="P39" s="165">
        <f>O39-N39</f>
        <v>-196</v>
      </c>
      <c r="Q39" s="163" t="e">
        <f aca="true" t="shared" si="10" ref="Q39:Q62">O39/N39*100</f>
        <v>#DIV/0!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5300</v>
      </c>
      <c r="F40" s="154">
        <v>4701.84</v>
      </c>
      <c r="G40" s="160">
        <f aca="true" t="shared" si="11" ref="G40:G63">F40-E40</f>
        <v>-598.1599999999999</v>
      </c>
      <c r="H40" s="162"/>
      <c r="I40" s="163">
        <f aca="true" t="shared" si="12" ref="I40:I63">F40-D40</f>
        <v>-25298.16</v>
      </c>
      <c r="J40" s="163">
        <f>F40/D40*100</f>
        <v>15.6728</v>
      </c>
      <c r="K40" s="163">
        <v>432.1</v>
      </c>
      <c r="L40" s="163">
        <f t="shared" si="1"/>
        <v>4269.74</v>
      </c>
      <c r="M40" s="216"/>
      <c r="N40" s="162">
        <f>E40-лютий!E40</f>
        <v>2800</v>
      </c>
      <c r="O40" s="166">
        <f>F40-лютий!F40</f>
        <v>2585.52</v>
      </c>
      <c r="P40" s="165">
        <f aca="true" t="shared" si="13" ref="P40:P63">O40-N40</f>
        <v>-214.48000000000002</v>
      </c>
      <c r="Q40" s="163">
        <f t="shared" si="10"/>
        <v>92.34</v>
      </c>
      <c r="R40" s="36"/>
      <c r="S40" s="93"/>
      <c r="T40" s="145">
        <f t="shared" si="8"/>
        <v>24700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19</v>
      </c>
      <c r="F41" s="154">
        <v>62.08</v>
      </c>
      <c r="G41" s="160">
        <f t="shared" si="11"/>
        <v>43.08</v>
      </c>
      <c r="H41" s="162">
        <f aca="true" t="shared" si="14" ref="H41:H62">F41/E41*100</f>
        <v>326.7368421052632</v>
      </c>
      <c r="I41" s="163">
        <f t="shared" si="12"/>
        <v>22.08</v>
      </c>
      <c r="J41" s="163">
        <f aca="true" t="shared" si="15" ref="J41:J62">F41/D41*100</f>
        <v>155.20000000000002</v>
      </c>
      <c r="K41" s="163">
        <v>24.38</v>
      </c>
      <c r="L41" s="163">
        <f t="shared" si="1"/>
        <v>37.7</v>
      </c>
      <c r="M41" s="216">
        <f aca="true" t="shared" si="16" ref="M41:M63">F41/K41</f>
        <v>2.546349466776046</v>
      </c>
      <c r="N41" s="162">
        <f>E41-лютий!E41</f>
        <v>3</v>
      </c>
      <c r="O41" s="166">
        <f>F41-лютий!F41</f>
        <v>5</v>
      </c>
      <c r="P41" s="165">
        <f t="shared" si="13"/>
        <v>2</v>
      </c>
      <c r="Q41" s="163"/>
      <c r="R41" s="36"/>
      <c r="S41" s="93"/>
      <c r="T41" s="145">
        <f t="shared" si="8"/>
        <v>21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1"/>
        <v>2.03</v>
      </c>
      <c r="H42" s="162"/>
      <c r="I42" s="163">
        <f t="shared" si="12"/>
        <v>2.03</v>
      </c>
      <c r="J42" s="163"/>
      <c r="K42" s="163">
        <v>1.02</v>
      </c>
      <c r="L42" s="163">
        <f t="shared" si="1"/>
        <v>1.0099999999999998</v>
      </c>
      <c r="M42" s="216">
        <f t="shared" si="16"/>
        <v>1.9901960784313724</v>
      </c>
      <c r="N42" s="162">
        <f>E42-лютий!E42</f>
        <v>0</v>
      </c>
      <c r="O42" s="166">
        <f>F42-лютий!F42</f>
        <v>0</v>
      </c>
      <c r="P42" s="165">
        <f t="shared" si="13"/>
        <v>0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62</v>
      </c>
      <c r="F43" s="154">
        <v>91.32</v>
      </c>
      <c r="G43" s="160">
        <f t="shared" si="11"/>
        <v>29.319999999999993</v>
      </c>
      <c r="H43" s="162">
        <f t="shared" si="14"/>
        <v>147.29032258064515</v>
      </c>
      <c r="I43" s="163">
        <f t="shared" si="12"/>
        <v>-168.68</v>
      </c>
      <c r="J43" s="163">
        <f t="shared" si="15"/>
        <v>35.123076923076916</v>
      </c>
      <c r="K43" s="163">
        <v>3.65</v>
      </c>
      <c r="L43" s="163">
        <f t="shared" si="1"/>
        <v>87.66999999999999</v>
      </c>
      <c r="M43" s="216">
        <f t="shared" si="16"/>
        <v>25.01917808219178</v>
      </c>
      <c r="N43" s="162">
        <f>E43-лютий!E43</f>
        <v>22</v>
      </c>
      <c r="O43" s="166">
        <f>F43-лютий!F43</f>
        <v>9.239999999999995</v>
      </c>
      <c r="P43" s="165">
        <f t="shared" si="13"/>
        <v>-12.760000000000005</v>
      </c>
      <c r="Q43" s="163">
        <f t="shared" si="10"/>
        <v>41.99999999999998</v>
      </c>
      <c r="R43" s="36"/>
      <c r="S43" s="93"/>
      <c r="T43" s="145">
        <f t="shared" si="8"/>
        <v>198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27.2</v>
      </c>
      <c r="F44" s="154">
        <v>0.01</v>
      </c>
      <c r="G44" s="160">
        <f t="shared" si="11"/>
        <v>-27.189999999999998</v>
      </c>
      <c r="H44" s="162"/>
      <c r="I44" s="163">
        <f t="shared" si="12"/>
        <v>-97.49</v>
      </c>
      <c r="J44" s="163"/>
      <c r="K44" s="163">
        <v>0</v>
      </c>
      <c r="L44" s="163">
        <f t="shared" si="1"/>
        <v>0.01</v>
      </c>
      <c r="M44" s="216"/>
      <c r="N44" s="162">
        <f>E44-лютий!E44</f>
        <v>13.6</v>
      </c>
      <c r="O44" s="166">
        <f>F44-лютий!F44</f>
        <v>0.01</v>
      </c>
      <c r="P44" s="165"/>
      <c r="Q44" s="163"/>
      <c r="R44" s="36"/>
      <c r="S44" s="93"/>
      <c r="T44" s="145">
        <f t="shared" si="8"/>
        <v>70.3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180</v>
      </c>
      <c r="F45" s="154">
        <v>213.22</v>
      </c>
      <c r="G45" s="160">
        <f t="shared" si="11"/>
        <v>33.22</v>
      </c>
      <c r="H45" s="162">
        <f t="shared" si="14"/>
        <v>118.45555555555556</v>
      </c>
      <c r="I45" s="163">
        <f t="shared" si="12"/>
        <v>-516.78</v>
      </c>
      <c r="J45" s="163">
        <f t="shared" si="15"/>
        <v>29.20821917808219</v>
      </c>
      <c r="K45" s="163">
        <v>0</v>
      </c>
      <c r="L45" s="163">
        <f t="shared" si="1"/>
        <v>213.22</v>
      </c>
      <c r="M45" s="216"/>
      <c r="N45" s="162">
        <f>E45-лютий!E45</f>
        <v>60</v>
      </c>
      <c r="O45" s="166">
        <f>F45-лютий!F45</f>
        <v>20.830000000000013</v>
      </c>
      <c r="P45" s="165">
        <f t="shared" si="13"/>
        <v>-39.16999999999999</v>
      </c>
      <c r="Q45" s="163">
        <f t="shared" si="10"/>
        <v>34.71666666666669</v>
      </c>
      <c r="R45" s="36"/>
      <c r="S45" s="93"/>
      <c r="T45" s="145">
        <f t="shared" si="8"/>
        <v>550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6"/>
        <v>#DIV/0!</v>
      </c>
      <c r="N46" s="162">
        <f>E46-лютий!E46</f>
        <v>0</v>
      </c>
      <c r="O46" s="166">
        <f>F46-лютий!F46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2300</v>
      </c>
      <c r="F47" s="154">
        <v>2360.2</v>
      </c>
      <c r="G47" s="160">
        <f t="shared" si="11"/>
        <v>60.19999999999982</v>
      </c>
      <c r="H47" s="162">
        <f t="shared" si="14"/>
        <v>102.61739130434782</v>
      </c>
      <c r="I47" s="163">
        <f t="shared" si="12"/>
        <v>-8639.8</v>
      </c>
      <c r="J47" s="163">
        <f t="shared" si="15"/>
        <v>21.456363636363633</v>
      </c>
      <c r="K47" s="163">
        <v>1351.17</v>
      </c>
      <c r="L47" s="163">
        <f t="shared" si="1"/>
        <v>1009.0299999999997</v>
      </c>
      <c r="M47" s="216">
        <f t="shared" si="16"/>
        <v>1.7467824182005223</v>
      </c>
      <c r="N47" s="162">
        <f>E47-лютий!E47</f>
        <v>900</v>
      </c>
      <c r="O47" s="166">
        <f>F47-лютий!F47</f>
        <v>216.48000000000002</v>
      </c>
      <c r="P47" s="165">
        <f t="shared" si="13"/>
        <v>-683.52</v>
      </c>
      <c r="Q47" s="163">
        <f t="shared" si="10"/>
        <v>24.053333333333335</v>
      </c>
      <c r="R47" s="36"/>
      <c r="S47" s="93"/>
      <c r="T47" s="145">
        <f t="shared" si="8"/>
        <v>8700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75</v>
      </c>
      <c r="F48" s="154">
        <v>97.94</v>
      </c>
      <c r="G48" s="160">
        <f t="shared" si="11"/>
        <v>22.939999999999998</v>
      </c>
      <c r="H48" s="162">
        <f t="shared" si="14"/>
        <v>130.58666666666667</v>
      </c>
      <c r="I48" s="163">
        <f t="shared" si="12"/>
        <v>-212.06</v>
      </c>
      <c r="J48" s="163">
        <f t="shared" si="15"/>
        <v>31.593548387096774</v>
      </c>
      <c r="K48" s="163">
        <v>1.03</v>
      </c>
      <c r="L48" s="163">
        <f t="shared" si="1"/>
        <v>96.91</v>
      </c>
      <c r="M48" s="216"/>
      <c r="N48" s="162">
        <f>E48-лютий!E48</f>
        <v>25</v>
      </c>
      <c r="O48" s="166">
        <f>F48-лютий!F48</f>
        <v>7.5</v>
      </c>
      <c r="P48" s="165">
        <f t="shared" si="13"/>
        <v>-17.5</v>
      </c>
      <c r="Q48" s="163"/>
      <c r="R48" s="36"/>
      <c r="S48" s="93"/>
      <c r="T48" s="145">
        <f t="shared" si="8"/>
        <v>235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3</v>
      </c>
      <c r="F49" s="154">
        <v>1.6</v>
      </c>
      <c r="G49" s="160">
        <f t="shared" si="11"/>
        <v>-1.4</v>
      </c>
      <c r="H49" s="162">
        <f t="shared" si="14"/>
        <v>53.333333333333336</v>
      </c>
      <c r="I49" s="163">
        <f t="shared" si="12"/>
        <v>-18.4</v>
      </c>
      <c r="J49" s="163">
        <f t="shared" si="15"/>
        <v>8</v>
      </c>
      <c r="K49" s="163">
        <v>0</v>
      </c>
      <c r="L49" s="163">
        <f t="shared" si="1"/>
        <v>1.6</v>
      </c>
      <c r="M49" s="216"/>
      <c r="N49" s="162">
        <f>E49-лютий!E49</f>
        <v>1</v>
      </c>
      <c r="O49" s="166">
        <f>F49-лютий!F49</f>
        <v>1.6</v>
      </c>
      <c r="P49" s="165">
        <f t="shared" si="13"/>
        <v>0.6000000000000001</v>
      </c>
      <c r="Q49" s="163">
        <f t="shared" si="10"/>
        <v>160</v>
      </c>
      <c r="R49" s="36"/>
      <c r="S49" s="93"/>
      <c r="T49" s="145">
        <f t="shared" si="8"/>
        <v>17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1820</v>
      </c>
      <c r="F50" s="154">
        <v>1625.09</v>
      </c>
      <c r="G50" s="160">
        <f t="shared" si="11"/>
        <v>-194.91000000000008</v>
      </c>
      <c r="H50" s="162">
        <f t="shared" si="14"/>
        <v>89.29065934065935</v>
      </c>
      <c r="I50" s="163">
        <f t="shared" si="12"/>
        <v>-5649.91</v>
      </c>
      <c r="J50" s="163">
        <f t="shared" si="15"/>
        <v>22.33800687285223</v>
      </c>
      <c r="K50" s="163">
        <v>1303.34</v>
      </c>
      <c r="L50" s="163">
        <f t="shared" si="1"/>
        <v>321.75</v>
      </c>
      <c r="M50" s="216">
        <f t="shared" si="16"/>
        <v>1.246865744932251</v>
      </c>
      <c r="N50" s="162">
        <f>E50-лютий!E50</f>
        <v>620</v>
      </c>
      <c r="O50" s="166">
        <f>F50-лютий!F50</f>
        <v>461.74</v>
      </c>
      <c r="P50" s="165">
        <f t="shared" si="13"/>
        <v>-158.26</v>
      </c>
      <c r="Q50" s="163">
        <f t="shared" si="10"/>
        <v>74.4741935483871</v>
      </c>
      <c r="R50" s="36"/>
      <c r="S50" s="93"/>
      <c r="T50" s="145">
        <f t="shared" si="8"/>
        <v>5455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235</v>
      </c>
      <c r="F51" s="154">
        <v>112.11</v>
      </c>
      <c r="G51" s="160">
        <f t="shared" si="11"/>
        <v>-122.89</v>
      </c>
      <c r="H51" s="162">
        <f t="shared" si="14"/>
        <v>47.706382978723404</v>
      </c>
      <c r="I51" s="163">
        <f t="shared" si="12"/>
        <v>-1087.89</v>
      </c>
      <c r="J51" s="163">
        <f t="shared" si="15"/>
        <v>9.3425</v>
      </c>
      <c r="K51" s="163">
        <v>965.16</v>
      </c>
      <c r="L51" s="163">
        <f t="shared" si="1"/>
        <v>-853.05</v>
      </c>
      <c r="M51" s="216">
        <f t="shared" si="16"/>
        <v>0.11615690662688052</v>
      </c>
      <c r="N51" s="162">
        <f>E51-лютий!E51</f>
        <v>95</v>
      </c>
      <c r="O51" s="166">
        <f>F51-лютий!F51</f>
        <v>23.060000000000002</v>
      </c>
      <c r="P51" s="165">
        <f t="shared" si="13"/>
        <v>-71.94</v>
      </c>
      <c r="Q51" s="163">
        <f t="shared" si="10"/>
        <v>24.27368421052632</v>
      </c>
      <c r="R51" s="36"/>
      <c r="S51" s="93"/>
      <c r="T51" s="145">
        <f t="shared" si="8"/>
        <v>965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190</v>
      </c>
      <c r="F52" s="138">
        <v>94.77</v>
      </c>
      <c r="G52" s="33">
        <f t="shared" si="11"/>
        <v>-95.23</v>
      </c>
      <c r="H52" s="29">
        <f t="shared" si="14"/>
        <v>49.87894736842105</v>
      </c>
      <c r="I52" s="103">
        <f t="shared" si="12"/>
        <v>-903.23</v>
      </c>
      <c r="J52" s="103">
        <f t="shared" si="15"/>
        <v>9.495991983967937</v>
      </c>
      <c r="K52" s="103">
        <v>86.43</v>
      </c>
      <c r="L52" s="103">
        <f>F52-K52</f>
        <v>8.33999999999999</v>
      </c>
      <c r="M52" s="108">
        <f t="shared" si="16"/>
        <v>1.0964942728219367</v>
      </c>
      <c r="N52" s="104">
        <f>E52-лютий!E52</f>
        <v>80</v>
      </c>
      <c r="O52" s="142">
        <f>F52-лютий!F52</f>
        <v>21.060000000000002</v>
      </c>
      <c r="P52" s="105">
        <f t="shared" si="13"/>
        <v>-58.94</v>
      </c>
      <c r="Q52" s="118">
        <f t="shared" si="10"/>
        <v>26.325000000000003</v>
      </c>
      <c r="R52" s="36"/>
      <c r="S52" s="93"/>
      <c r="T52" s="145">
        <f t="shared" si="8"/>
        <v>808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1"/>
        <v>0.1</v>
      </c>
      <c r="H53" s="29" t="e">
        <f t="shared" si="14"/>
        <v>#DIV/0!</v>
      </c>
      <c r="I53" s="103">
        <f t="shared" si="12"/>
        <v>-0.9</v>
      </c>
      <c r="J53" s="103">
        <f t="shared" si="15"/>
        <v>10</v>
      </c>
      <c r="K53" s="103">
        <v>0.08</v>
      </c>
      <c r="L53" s="103">
        <f>F53-K53</f>
        <v>0.020000000000000004</v>
      </c>
      <c r="M53" s="108">
        <f t="shared" si="16"/>
        <v>1.25</v>
      </c>
      <c r="N53" s="104">
        <f>E53-лютий!E53</f>
        <v>0</v>
      </c>
      <c r="O53" s="142">
        <f>F53-лютий!F53</f>
        <v>0</v>
      </c>
      <c r="P53" s="105">
        <f t="shared" si="13"/>
        <v>0</v>
      </c>
      <c r="Q53" s="118" t="e">
        <f t="shared" si="10"/>
        <v>#DIV/0!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1"/>
        <v>0</v>
      </c>
      <c r="H54" s="29"/>
      <c r="I54" s="103">
        <f t="shared" si="12"/>
        <v>-1</v>
      </c>
      <c r="J54" s="103">
        <f t="shared" si="15"/>
        <v>0</v>
      </c>
      <c r="K54" s="103">
        <v>0</v>
      </c>
      <c r="L54" s="103">
        <f>F54-K54</f>
        <v>0</v>
      </c>
      <c r="M54" s="108" t="e">
        <f t="shared" si="16"/>
        <v>#DIV/0!</v>
      </c>
      <c r="N54" s="104">
        <f>E54-лютий!E54</f>
        <v>0</v>
      </c>
      <c r="O54" s="142">
        <f>F54-лютий!F54</f>
        <v>0</v>
      </c>
      <c r="P54" s="105">
        <f t="shared" si="13"/>
        <v>0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45</v>
      </c>
      <c r="F55" s="138">
        <v>17.24</v>
      </c>
      <c r="G55" s="33">
        <f t="shared" si="11"/>
        <v>-27.76</v>
      </c>
      <c r="H55" s="29">
        <f t="shared" si="14"/>
        <v>38.31111111111111</v>
      </c>
      <c r="I55" s="103">
        <f t="shared" si="12"/>
        <v>-182.76</v>
      </c>
      <c r="J55" s="103">
        <f t="shared" si="15"/>
        <v>8.62</v>
      </c>
      <c r="K55" s="103">
        <v>878.65</v>
      </c>
      <c r="L55" s="103">
        <f>F55-K55</f>
        <v>-861.41</v>
      </c>
      <c r="M55" s="108">
        <f t="shared" si="16"/>
        <v>0.01962100950321516</v>
      </c>
      <c r="N55" s="104">
        <f>E55-лютий!E55</f>
        <v>15</v>
      </c>
      <c r="O55" s="142">
        <f>F55-лютий!F55</f>
        <v>1.9999999999999982</v>
      </c>
      <c r="P55" s="105">
        <f t="shared" si="13"/>
        <v>-13.000000000000002</v>
      </c>
      <c r="Q55" s="118">
        <f t="shared" si="10"/>
        <v>13.333333333333321</v>
      </c>
      <c r="R55" s="36"/>
      <c r="S55" s="93"/>
      <c r="T55" s="145">
        <f t="shared" si="8"/>
        <v>155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1"/>
        <v>-0.8300000000000001</v>
      </c>
      <c r="H56" s="162"/>
      <c r="I56" s="163">
        <f t="shared" si="12"/>
        <v>-0.8300000000000001</v>
      </c>
      <c r="J56" s="163">
        <f t="shared" si="15"/>
        <v>66.8</v>
      </c>
      <c r="K56" s="163">
        <v>2.46</v>
      </c>
      <c r="L56" s="163">
        <f>F56-K56</f>
        <v>-0.79</v>
      </c>
      <c r="M56" s="216">
        <f t="shared" si="16"/>
        <v>0.6788617886178862</v>
      </c>
      <c r="N56" s="162">
        <f>E56-лютий!E56</f>
        <v>0</v>
      </c>
      <c r="O56" s="166">
        <f>F56-лютий!F56</f>
        <v>0</v>
      </c>
      <c r="P56" s="165">
        <f t="shared" si="13"/>
        <v>0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2800</v>
      </c>
      <c r="F57" s="154">
        <v>2762.89</v>
      </c>
      <c r="G57" s="160">
        <f t="shared" si="11"/>
        <v>-37.11000000000013</v>
      </c>
      <c r="H57" s="162">
        <f t="shared" si="14"/>
        <v>98.67464285714286</v>
      </c>
      <c r="I57" s="163">
        <f t="shared" si="12"/>
        <v>-4587.110000000001</v>
      </c>
      <c r="J57" s="163">
        <f t="shared" si="15"/>
        <v>37.590340136054415</v>
      </c>
      <c r="K57" s="163">
        <v>722.66</v>
      </c>
      <c r="L57" s="163">
        <f aca="true" t="shared" si="17" ref="L57:L63">F57-K57</f>
        <v>2040.23</v>
      </c>
      <c r="M57" s="216">
        <f t="shared" si="16"/>
        <v>3.823222538953311</v>
      </c>
      <c r="N57" s="162">
        <f>E57-лютий!E57</f>
        <v>600</v>
      </c>
      <c r="O57" s="166">
        <f>F57-лютий!F57</f>
        <v>51.460000000000036</v>
      </c>
      <c r="P57" s="165">
        <f t="shared" si="13"/>
        <v>-548.54</v>
      </c>
      <c r="Q57" s="163">
        <f t="shared" si="10"/>
        <v>8.576666666666673</v>
      </c>
      <c r="R57" s="36"/>
      <c r="S57" s="93"/>
      <c r="T57" s="145">
        <f t="shared" si="8"/>
        <v>4550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1"/>
        <v>0</v>
      </c>
      <c r="H58" s="162" t="e">
        <f t="shared" si="14"/>
        <v>#DIV/0!</v>
      </c>
      <c r="I58" s="163">
        <f t="shared" si="12"/>
        <v>0</v>
      </c>
      <c r="J58" s="163" t="e">
        <f t="shared" si="15"/>
        <v>#DIV/0!</v>
      </c>
      <c r="K58" s="163"/>
      <c r="L58" s="163">
        <f t="shared" si="17"/>
        <v>0</v>
      </c>
      <c r="M58" s="216" t="e">
        <f t="shared" si="16"/>
        <v>#DIV/0!</v>
      </c>
      <c r="N58" s="162">
        <f>E58-лютий!E58</f>
        <v>0</v>
      </c>
      <c r="O58" s="166">
        <f>F58-лютий!F58</f>
        <v>0</v>
      </c>
      <c r="P58" s="165">
        <f t="shared" si="13"/>
        <v>0</v>
      </c>
      <c r="Q58" s="163" t="e">
        <f t="shared" si="10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316.27</v>
      </c>
      <c r="G59" s="160"/>
      <c r="H59" s="162"/>
      <c r="I59" s="163"/>
      <c r="J59" s="163"/>
      <c r="K59" s="164">
        <v>147.3</v>
      </c>
      <c r="L59" s="163">
        <f t="shared" si="17"/>
        <v>168.96999999999997</v>
      </c>
      <c r="M59" s="216">
        <f t="shared" si="16"/>
        <v>2.1471147318397823</v>
      </c>
      <c r="N59" s="193">
        <f>E59-лютий!E59</f>
        <v>0</v>
      </c>
      <c r="O59" s="177">
        <f>F59-лютий!F59</f>
        <v>30.939999999999998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1"/>
        <v>0</v>
      </c>
      <c r="H60" s="162"/>
      <c r="I60" s="163">
        <f t="shared" si="12"/>
        <v>0</v>
      </c>
      <c r="J60" s="163"/>
      <c r="K60" s="164"/>
      <c r="L60" s="163">
        <f t="shared" si="17"/>
        <v>0</v>
      </c>
      <c r="M60" s="216" t="e">
        <f t="shared" si="16"/>
        <v>#DIV/0!</v>
      </c>
      <c r="N60" s="162">
        <f>E60-лютий!E60</f>
        <v>0</v>
      </c>
      <c r="O60" s="166">
        <f>F60-лютий!F60</f>
        <v>0</v>
      </c>
      <c r="P60" s="165">
        <f t="shared" si="13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1"/>
        <v>22.89</v>
      </c>
      <c r="H61" s="162">
        <f t="shared" si="14"/>
        <v>328.90000000000003</v>
      </c>
      <c r="I61" s="163">
        <f t="shared" si="12"/>
        <v>-127.11</v>
      </c>
      <c r="J61" s="163">
        <f t="shared" si="15"/>
        <v>20.556250000000002</v>
      </c>
      <c r="K61" s="163">
        <v>32.19</v>
      </c>
      <c r="L61" s="163">
        <f t="shared" si="17"/>
        <v>0.7000000000000028</v>
      </c>
      <c r="M61" s="216">
        <f t="shared" si="16"/>
        <v>1.0217458838148494</v>
      </c>
      <c r="N61" s="162">
        <f>E61-лютий!E61</f>
        <v>0</v>
      </c>
      <c r="O61" s="166">
        <f>F61-лютий!F61</f>
        <v>0</v>
      </c>
      <c r="P61" s="165">
        <f t="shared" si="13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3.7</v>
      </c>
      <c r="F62" s="154">
        <v>8.93</v>
      </c>
      <c r="G62" s="160">
        <f t="shared" si="11"/>
        <v>5.2299999999999995</v>
      </c>
      <c r="H62" s="162">
        <f t="shared" si="14"/>
        <v>241.35135135135135</v>
      </c>
      <c r="I62" s="163">
        <f t="shared" si="12"/>
        <v>-6.07</v>
      </c>
      <c r="J62" s="163">
        <f t="shared" si="15"/>
        <v>59.533333333333324</v>
      </c>
      <c r="K62" s="163">
        <v>3.8</v>
      </c>
      <c r="L62" s="163">
        <f t="shared" si="17"/>
        <v>5.13</v>
      </c>
      <c r="M62" s="216">
        <f t="shared" si="16"/>
        <v>2.35</v>
      </c>
      <c r="N62" s="162">
        <f>E62-лютий!E62</f>
        <v>1.2000000000000002</v>
      </c>
      <c r="O62" s="166">
        <f>F62-лютий!F62</f>
        <v>0.33000000000000007</v>
      </c>
      <c r="P62" s="165">
        <f t="shared" si="13"/>
        <v>-0.8700000000000001</v>
      </c>
      <c r="Q62" s="163">
        <f t="shared" si="10"/>
        <v>27.500000000000004</v>
      </c>
      <c r="R62" s="36"/>
      <c r="S62" s="93"/>
      <c r="T62" s="145">
        <f t="shared" si="8"/>
        <v>11.3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1"/>
        <v>-5.33</v>
      </c>
      <c r="H63" s="162"/>
      <c r="I63" s="163">
        <f t="shared" si="12"/>
        <v>-5.33</v>
      </c>
      <c r="J63" s="163"/>
      <c r="K63" s="163">
        <v>0.54</v>
      </c>
      <c r="L63" s="163">
        <f t="shared" si="17"/>
        <v>-5.87</v>
      </c>
      <c r="M63" s="216">
        <f t="shared" si="16"/>
        <v>-9.87037037037037</v>
      </c>
      <c r="N63" s="162">
        <f>E63-лютий!E63</f>
        <v>0</v>
      </c>
      <c r="O63" s="166">
        <f>F63-лютий!F63</f>
        <v>0</v>
      </c>
      <c r="P63" s="165">
        <f t="shared" si="13"/>
        <v>0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298356.9</v>
      </c>
      <c r="F64" s="149">
        <f>F8+F38+F62+F63</f>
        <v>220255.81000000003</v>
      </c>
      <c r="G64" s="149">
        <f>F64-E64</f>
        <v>-78101.09</v>
      </c>
      <c r="H64" s="150">
        <f>F64/E64*100</f>
        <v>73.82293152931942</v>
      </c>
      <c r="I64" s="151">
        <f>F64-D64</f>
        <v>-1137235.29</v>
      </c>
      <c r="J64" s="151">
        <f>F64/D64*100</f>
        <v>16.22521208426339</v>
      </c>
      <c r="K64" s="151">
        <v>145343.26</v>
      </c>
      <c r="L64" s="151">
        <f>F64-K64</f>
        <v>74912.55000000002</v>
      </c>
      <c r="M64" s="217">
        <f>F64/K64</f>
        <v>1.5154181212118127</v>
      </c>
      <c r="N64" s="149">
        <f>N8+N38+N62+N63</f>
        <v>94334.8</v>
      </c>
      <c r="O64" s="149">
        <f>O8+O38+O62+O63</f>
        <v>16729.43999999999</v>
      </c>
      <c r="P64" s="153">
        <f>O64-N64</f>
        <v>-77605.36000000002</v>
      </c>
      <c r="Q64" s="151">
        <f>O64/N64*100</f>
        <v>17.734112967854905</v>
      </c>
      <c r="R64" s="26">
        <f>O64-34768</f>
        <v>-18038.56000000001</v>
      </c>
      <c r="S64" s="114">
        <f>O64/34768</f>
        <v>0.4811734928670039</v>
      </c>
      <c r="T64" s="145">
        <f t="shared" si="8"/>
        <v>1059134.2000000002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3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0.08</v>
      </c>
      <c r="G73" s="160">
        <f aca="true" t="shared" si="18" ref="G73:G84">F73-E73</f>
        <v>0.08</v>
      </c>
      <c r="H73" s="162"/>
      <c r="I73" s="165">
        <f aca="true" t="shared" si="19" ref="I73:I84">F73-D73</f>
        <v>-104205.95</v>
      </c>
      <c r="J73" s="165">
        <f>F73/D73*100</f>
        <v>7.677098916444663E-05</v>
      </c>
      <c r="K73" s="165">
        <v>0.1</v>
      </c>
      <c r="L73" s="165">
        <f aca="true" t="shared" si="20" ref="L73:L84">F73-K73</f>
        <v>-0.020000000000000004</v>
      </c>
      <c r="M73" s="207">
        <f>F73/K73</f>
        <v>0.7999999999999999</v>
      </c>
      <c r="N73" s="162">
        <f>E73-лютий!E73</f>
        <v>0</v>
      </c>
      <c r="O73" s="166">
        <f>F73-лютий!F73</f>
        <v>0.009999999999999995</v>
      </c>
      <c r="P73" s="165">
        <f aca="true" t="shared" si="21" ref="P73:P86">O73-N73</f>
        <v>0.009999999999999995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4830</v>
      </c>
      <c r="F74" s="179">
        <v>48.34</v>
      </c>
      <c r="G74" s="160">
        <f t="shared" si="18"/>
        <v>-4781.66</v>
      </c>
      <c r="H74" s="162">
        <f>F74/E74*100</f>
        <v>1.0008281573498967</v>
      </c>
      <c r="I74" s="165">
        <f t="shared" si="19"/>
        <v>-53951.66</v>
      </c>
      <c r="J74" s="165">
        <f>F74/D74*100</f>
        <v>0.08951851851851853</v>
      </c>
      <c r="K74" s="165">
        <v>376.67</v>
      </c>
      <c r="L74" s="165">
        <f t="shared" si="20"/>
        <v>-328.33000000000004</v>
      </c>
      <c r="M74" s="207">
        <f>F74/K74</f>
        <v>0.12833514747657102</v>
      </c>
      <c r="N74" s="162">
        <f>E74-лютий!E74</f>
        <v>3600</v>
      </c>
      <c r="O74" s="166">
        <f>F74-лютий!F74</f>
        <v>0</v>
      </c>
      <c r="P74" s="165">
        <f t="shared" si="21"/>
        <v>-3600</v>
      </c>
      <c r="Q74" s="165">
        <f>O74/N74*100</f>
        <v>0</v>
      </c>
      <c r="R74" s="37"/>
      <c r="S74" s="96"/>
      <c r="T74" s="145">
        <f aca="true" t="shared" si="22" ref="T74:T90">D74-E74</f>
        <v>49170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4650</v>
      </c>
      <c r="F75" s="179">
        <v>1103.59</v>
      </c>
      <c r="G75" s="160">
        <f t="shared" si="18"/>
        <v>-3546.41</v>
      </c>
      <c r="H75" s="162">
        <f>F75/E75*100</f>
        <v>23.73311827956989</v>
      </c>
      <c r="I75" s="165">
        <f t="shared" si="19"/>
        <v>-77896.41</v>
      </c>
      <c r="J75" s="165">
        <f>F75/D75*100</f>
        <v>1.3969493670886075</v>
      </c>
      <c r="K75" s="165">
        <v>646.84</v>
      </c>
      <c r="L75" s="165">
        <f t="shared" si="20"/>
        <v>456.7499999999999</v>
      </c>
      <c r="M75" s="207">
        <f>F75/K75</f>
        <v>1.7061251623276232</v>
      </c>
      <c r="N75" s="162">
        <f>E75-лютий!E75</f>
        <v>3850</v>
      </c>
      <c r="O75" s="166">
        <f>F75-лютий!F75</f>
        <v>1</v>
      </c>
      <c r="P75" s="165">
        <f t="shared" si="21"/>
        <v>-3849</v>
      </c>
      <c r="Q75" s="165">
        <f>O75/N75*100</f>
        <v>0.025974025974025976</v>
      </c>
      <c r="R75" s="37"/>
      <c r="S75" s="96"/>
      <c r="T75" s="145">
        <f t="shared" si="22"/>
        <v>74350</v>
      </c>
    </row>
    <row r="76" spans="2:20" ht="18">
      <c r="B76" s="23" t="s">
        <v>101</v>
      </c>
      <c r="C76" s="72">
        <v>24110700</v>
      </c>
      <c r="D76" s="178">
        <v>12</v>
      </c>
      <c r="E76" s="178">
        <v>3</v>
      </c>
      <c r="F76" s="179">
        <v>3</v>
      </c>
      <c r="G76" s="160">
        <f t="shared" si="18"/>
        <v>0</v>
      </c>
      <c r="H76" s="162">
        <f>F76/E76*100</f>
        <v>100</v>
      </c>
      <c r="I76" s="165">
        <f t="shared" si="19"/>
        <v>-9</v>
      </c>
      <c r="J76" s="165">
        <f>F76/D76*100</f>
        <v>25</v>
      </c>
      <c r="K76" s="165">
        <v>2</v>
      </c>
      <c r="L76" s="165">
        <f t="shared" si="20"/>
        <v>1</v>
      </c>
      <c r="M76" s="207"/>
      <c r="N76" s="162">
        <f>E76-лютий!E76</f>
        <v>1</v>
      </c>
      <c r="O76" s="166">
        <f>F76-лютий!F76</f>
        <v>1</v>
      </c>
      <c r="P76" s="165">
        <f t="shared" si="21"/>
        <v>0</v>
      </c>
      <c r="Q76" s="165">
        <f>O76/N76*100</f>
        <v>100</v>
      </c>
      <c r="R76" s="37"/>
      <c r="S76" s="134"/>
      <c r="T76" s="145">
        <f t="shared" si="22"/>
        <v>9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9483</v>
      </c>
      <c r="F77" s="182">
        <f>F73+F74+F75+F76</f>
        <v>1155.01</v>
      </c>
      <c r="G77" s="183">
        <f t="shared" si="18"/>
        <v>-8327.99</v>
      </c>
      <c r="H77" s="184">
        <f>F77/E77*100</f>
        <v>12.179795423389223</v>
      </c>
      <c r="I77" s="185">
        <f t="shared" si="19"/>
        <v>-236063.02</v>
      </c>
      <c r="J77" s="185">
        <f>F77/D77*100</f>
        <v>0.4868980658847897</v>
      </c>
      <c r="K77" s="185">
        <v>1025.62</v>
      </c>
      <c r="L77" s="185">
        <f t="shared" si="20"/>
        <v>129.3900000000001</v>
      </c>
      <c r="M77" s="212">
        <f>F77/K77</f>
        <v>1.126157836235643</v>
      </c>
      <c r="N77" s="183">
        <f>N73+N74+N75+N76</f>
        <v>7451</v>
      </c>
      <c r="O77" s="187">
        <f>O73+O74+O75+O76</f>
        <v>2.01</v>
      </c>
      <c r="P77" s="185">
        <f t="shared" si="21"/>
        <v>-7448.99</v>
      </c>
      <c r="Q77" s="185">
        <f>O77/N77*100</f>
        <v>0.02697624479935579</v>
      </c>
      <c r="R77" s="38"/>
      <c r="S77" s="115"/>
      <c r="T77" s="145">
        <f t="shared" si="22"/>
        <v>227735.03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0.5</v>
      </c>
      <c r="F78" s="179">
        <v>8.78</v>
      </c>
      <c r="G78" s="160">
        <f t="shared" si="18"/>
        <v>8.28</v>
      </c>
      <c r="H78" s="162"/>
      <c r="I78" s="165">
        <f t="shared" si="19"/>
        <v>-31.22</v>
      </c>
      <c r="J78" s="165"/>
      <c r="K78" s="165">
        <v>0.01</v>
      </c>
      <c r="L78" s="165">
        <f t="shared" si="20"/>
        <v>8.77</v>
      </c>
      <c r="M78" s="207">
        <f>F78/K78</f>
        <v>877.9999999999999</v>
      </c>
      <c r="N78" s="162">
        <f>E78-лютий!E78</f>
        <v>0.5</v>
      </c>
      <c r="O78" s="166">
        <f>F78-лютий!F78</f>
        <v>0</v>
      </c>
      <c r="P78" s="165">
        <f t="shared" si="21"/>
        <v>-0.5</v>
      </c>
      <c r="Q78" s="165"/>
      <c r="R78" s="37"/>
      <c r="S78" s="96"/>
      <c r="T78" s="145">
        <f t="shared" si="22"/>
        <v>39.5</v>
      </c>
    </row>
    <row r="79" spans="2:20" ht="18">
      <c r="B79" s="23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8"/>
        <v>0</v>
      </c>
      <c r="H79" s="162"/>
      <c r="I79" s="165">
        <f t="shared" si="19"/>
        <v>0</v>
      </c>
      <c r="J79" s="188"/>
      <c r="K79" s="165">
        <v>0</v>
      </c>
      <c r="L79" s="165">
        <f t="shared" si="20"/>
        <v>0</v>
      </c>
      <c r="M79" s="207" t="e">
        <f>F79/K79</f>
        <v>#DIV/0!</v>
      </c>
      <c r="N79" s="162">
        <f>E79-лютий!E79</f>
        <v>0</v>
      </c>
      <c r="O79" s="166">
        <f>F79-лютий!F79</f>
        <v>0</v>
      </c>
      <c r="P79" s="165">
        <f t="shared" si="21"/>
        <v>0</v>
      </c>
      <c r="Q79" s="188"/>
      <c r="R79" s="40"/>
      <c r="S79" s="98"/>
      <c r="T79" s="145">
        <f t="shared" si="22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2356.3</v>
      </c>
      <c r="F80" s="179">
        <v>2217.23</v>
      </c>
      <c r="G80" s="160">
        <f t="shared" si="18"/>
        <v>-139.07000000000016</v>
      </c>
      <c r="H80" s="162">
        <f>F80/E80*100</f>
        <v>94.09795017612358</v>
      </c>
      <c r="I80" s="165">
        <f t="shared" si="19"/>
        <v>-6142.77</v>
      </c>
      <c r="J80" s="165">
        <f>F80/D80*100</f>
        <v>26.52188995215311</v>
      </c>
      <c r="K80" s="165">
        <v>2013.66</v>
      </c>
      <c r="L80" s="165">
        <f t="shared" si="20"/>
        <v>203.56999999999994</v>
      </c>
      <c r="M80" s="207"/>
      <c r="N80" s="162">
        <f>E80-лютий!E80</f>
        <v>6.300000000000182</v>
      </c>
      <c r="O80" s="166">
        <f>F80-лютий!F80</f>
        <v>0</v>
      </c>
      <c r="P80" s="165">
        <f>O80-N80</f>
        <v>-6.300000000000182</v>
      </c>
      <c r="Q80" s="188">
        <f>O80/N80*100</f>
        <v>0</v>
      </c>
      <c r="R80" s="40"/>
      <c r="S80" s="98"/>
      <c r="T80" s="145">
        <f t="shared" si="22"/>
        <v>6003.7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8"/>
        <v>0.03</v>
      </c>
      <c r="H81" s="162"/>
      <c r="I81" s="165">
        <f t="shared" si="19"/>
        <v>0.03</v>
      </c>
      <c r="J81" s="165"/>
      <c r="K81" s="165">
        <v>1.31</v>
      </c>
      <c r="L81" s="165">
        <f t="shared" si="20"/>
        <v>-1.28</v>
      </c>
      <c r="M81" s="207">
        <f aca="true" t="shared" si="23" ref="M81:M86">F81/K81</f>
        <v>0.022900763358778622</v>
      </c>
      <c r="N81" s="162">
        <f>E81-лютий!E81</f>
        <v>0</v>
      </c>
      <c r="O81" s="166">
        <f>F81-лютий!F81</f>
        <v>0</v>
      </c>
      <c r="P81" s="165">
        <f t="shared" si="21"/>
        <v>0</v>
      </c>
      <c r="Q81" s="165"/>
      <c r="R81" s="37"/>
      <c r="S81" s="96"/>
      <c r="T81" s="145">
        <f t="shared" si="22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2356.8</v>
      </c>
      <c r="F82" s="182">
        <f>F78+F81+F79+F80</f>
        <v>2226.04</v>
      </c>
      <c r="G82" s="181">
        <f>G78+G81+G79+G80</f>
        <v>-130.76000000000016</v>
      </c>
      <c r="H82" s="184">
        <f>F82/E82*100</f>
        <v>94.45179904955872</v>
      </c>
      <c r="I82" s="185">
        <f t="shared" si="19"/>
        <v>-6173.96</v>
      </c>
      <c r="J82" s="185">
        <f>F82/D82*100</f>
        <v>26.500476190476192</v>
      </c>
      <c r="K82" s="185">
        <v>2013.84</v>
      </c>
      <c r="L82" s="185">
        <f t="shared" si="20"/>
        <v>212.20000000000005</v>
      </c>
      <c r="M82" s="218">
        <f t="shared" si="23"/>
        <v>1.105370833829897</v>
      </c>
      <c r="N82" s="183">
        <f>N78+N81+N79+N80</f>
        <v>6.800000000000182</v>
      </c>
      <c r="O82" s="187">
        <f>O78+O81+O79+O80</f>
        <v>0</v>
      </c>
      <c r="P82" s="183">
        <f>P78+P81+P79+P80</f>
        <v>-6.800000000000182</v>
      </c>
      <c r="Q82" s="185">
        <f>O82/N82*100</f>
        <v>0</v>
      </c>
      <c r="R82" s="38"/>
      <c r="S82" s="95"/>
      <c r="T82" s="145">
        <f t="shared" si="22"/>
        <v>6043.2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12.9</v>
      </c>
      <c r="F83" s="179">
        <v>0.96</v>
      </c>
      <c r="G83" s="160">
        <f t="shared" si="18"/>
        <v>-11.940000000000001</v>
      </c>
      <c r="H83" s="162">
        <f>F83/E83*100</f>
        <v>7.441860465116279</v>
      </c>
      <c r="I83" s="165">
        <f t="shared" si="19"/>
        <v>-37.04</v>
      </c>
      <c r="J83" s="165">
        <f>F83/D83*100</f>
        <v>2.526315789473684</v>
      </c>
      <c r="K83" s="165">
        <v>0.69</v>
      </c>
      <c r="L83" s="165">
        <f t="shared" si="20"/>
        <v>0.27</v>
      </c>
      <c r="M83" s="207">
        <f t="shared" si="23"/>
        <v>1.391304347826087</v>
      </c>
      <c r="N83" s="162">
        <f>E83-лютий!E83</f>
        <v>8</v>
      </c>
      <c r="O83" s="166">
        <f>F83-лютий!F83</f>
        <v>0</v>
      </c>
      <c r="P83" s="165">
        <f t="shared" si="21"/>
        <v>-8</v>
      </c>
      <c r="Q83" s="165">
        <f>O83/N83</f>
        <v>0</v>
      </c>
      <c r="R83" s="37"/>
      <c r="S83" s="96"/>
      <c r="T83" s="145">
        <f t="shared" si="22"/>
        <v>25.1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8"/>
        <v>26.66</v>
      </c>
      <c r="H84" s="162"/>
      <c r="I84" s="165">
        <f t="shared" si="19"/>
        <v>26.66</v>
      </c>
      <c r="J84" s="165"/>
      <c r="K84" s="165">
        <v>0</v>
      </c>
      <c r="L84" s="165">
        <f t="shared" si="20"/>
        <v>26.66</v>
      </c>
      <c r="M84" s="165"/>
      <c r="N84" s="162">
        <f>E84-лютий!E84</f>
        <v>0</v>
      </c>
      <c r="O84" s="166">
        <f>F84-лютий!F84</f>
        <v>0</v>
      </c>
      <c r="P84" s="165">
        <f t="shared" si="21"/>
        <v>0</v>
      </c>
      <c r="Q84" s="165"/>
      <c r="R84" s="37"/>
      <c r="S84" s="96"/>
      <c r="T84" s="145">
        <f t="shared" si="22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11852.7</v>
      </c>
      <c r="F85" s="189">
        <f>F71+F83+F77+F82+F84</f>
        <v>3408.68</v>
      </c>
      <c r="G85" s="190">
        <f>F85-E85</f>
        <v>-8444.02</v>
      </c>
      <c r="H85" s="191">
        <f>F85/E85*100</f>
        <v>28.758679457001357</v>
      </c>
      <c r="I85" s="192">
        <f>F85-D85</f>
        <v>-242247.35</v>
      </c>
      <c r="J85" s="192">
        <f>F85/D85*100</f>
        <v>1.3875824664267349</v>
      </c>
      <c r="K85" s="192">
        <v>3039.87</v>
      </c>
      <c r="L85" s="192">
        <f>F85-K85</f>
        <v>368.80999999999995</v>
      </c>
      <c r="M85" s="219">
        <f t="shared" si="23"/>
        <v>1.1213242671561612</v>
      </c>
      <c r="N85" s="189">
        <f>N71+N83+N77+N82+N84</f>
        <v>7465.8</v>
      </c>
      <c r="O85" s="189">
        <f>O71+O83+O77+O82+O84</f>
        <v>2.01</v>
      </c>
      <c r="P85" s="192">
        <f t="shared" si="21"/>
        <v>-7463.79</v>
      </c>
      <c r="Q85" s="192">
        <f>O85/N85*100</f>
        <v>0.026922767821264966</v>
      </c>
      <c r="R85" s="26">
        <f>O85-8104.96</f>
        <v>-8102.95</v>
      </c>
      <c r="S85" s="94">
        <f>O85/8104.96</f>
        <v>0.00024799628869235626</v>
      </c>
      <c r="T85" s="145">
        <f t="shared" si="22"/>
        <v>233803.33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310209.60000000003</v>
      </c>
      <c r="F86" s="189">
        <f>F64+F85</f>
        <v>223664.49000000002</v>
      </c>
      <c r="G86" s="190">
        <f>F86-E86</f>
        <v>-86545.11000000002</v>
      </c>
      <c r="H86" s="191">
        <f>F86/E86*100</f>
        <v>72.10108584647284</v>
      </c>
      <c r="I86" s="192">
        <f>F86-D86</f>
        <v>-1379482.6400000001</v>
      </c>
      <c r="J86" s="192">
        <f>F86/D86*100</f>
        <v>13.951588460879446</v>
      </c>
      <c r="K86" s="192">
        <f>K64+K85</f>
        <v>148383.13</v>
      </c>
      <c r="L86" s="192">
        <f>F86-K86</f>
        <v>75281.36000000002</v>
      </c>
      <c r="M86" s="219">
        <f t="shared" si="23"/>
        <v>1.507344466988936</v>
      </c>
      <c r="N86" s="190">
        <f>N64+N85</f>
        <v>101800.6</v>
      </c>
      <c r="O86" s="190">
        <f>O64+O85</f>
        <v>16731.44999999999</v>
      </c>
      <c r="P86" s="192">
        <f t="shared" si="21"/>
        <v>-85069.15000000002</v>
      </c>
      <c r="Q86" s="192">
        <f>O86/N86*100</f>
        <v>16.435512167904697</v>
      </c>
      <c r="R86" s="26">
        <f>O86-42872.96</f>
        <v>-26141.51000000001</v>
      </c>
      <c r="S86" s="94">
        <f>O86/42872.96</f>
        <v>0.39025646934571323</v>
      </c>
      <c r="T86" s="145">
        <f t="shared" si="22"/>
        <v>1292937.53</v>
      </c>
    </row>
    <row r="87" spans="2:20" ht="15">
      <c r="B87" s="20" t="s">
        <v>34</v>
      </c>
      <c r="O87" s="25"/>
      <c r="T87" s="145">
        <f t="shared" si="22"/>
        <v>0</v>
      </c>
    </row>
    <row r="88" spans="2:20" ht="15">
      <c r="B88" s="4" t="s">
        <v>36</v>
      </c>
      <c r="C88" s="75">
        <v>16</v>
      </c>
      <c r="D88" s="4" t="s">
        <v>35</v>
      </c>
      <c r="O88" s="77"/>
      <c r="T88" s="145" t="e">
        <f t="shared" si="22"/>
        <v>#VALUE!</v>
      </c>
    </row>
    <row r="89" spans="2:20" ht="30.75">
      <c r="B89" s="51" t="s">
        <v>53</v>
      </c>
      <c r="C89" s="28">
        <f>IF(P64&lt;0,ABS(P64/C88),0)</f>
        <v>4850.335000000001</v>
      </c>
      <c r="D89" s="4" t="s">
        <v>24</v>
      </c>
      <c r="G89" s="264"/>
      <c r="H89" s="264"/>
      <c r="I89" s="264"/>
      <c r="J89" s="264"/>
      <c r="K89" s="83"/>
      <c r="L89" s="83"/>
      <c r="M89" s="83"/>
      <c r="Q89" s="25"/>
      <c r="R89" s="25"/>
      <c r="T89" s="145" t="e">
        <f t="shared" si="22"/>
        <v>#VALUE!</v>
      </c>
    </row>
    <row r="90" spans="2:20" ht="34.5" customHeight="1">
      <c r="B90" s="52" t="s">
        <v>55</v>
      </c>
      <c r="C90" s="80">
        <v>42800</v>
      </c>
      <c r="D90" s="28">
        <v>4691.29</v>
      </c>
      <c r="G90" s="4" t="s">
        <v>58</v>
      </c>
      <c r="O90" s="265"/>
      <c r="P90" s="265"/>
      <c r="T90" s="145">
        <f t="shared" si="22"/>
        <v>4691.29</v>
      </c>
    </row>
    <row r="91" spans="3:16" ht="15">
      <c r="C91" s="80">
        <v>42797</v>
      </c>
      <c r="D91" s="28">
        <v>3141.68</v>
      </c>
      <c r="F91" s="112" t="s">
        <v>58</v>
      </c>
      <c r="G91" s="266"/>
      <c r="H91" s="266"/>
      <c r="I91" s="117"/>
      <c r="J91" s="267"/>
      <c r="K91" s="267"/>
      <c r="L91" s="267"/>
      <c r="M91" s="267"/>
      <c r="N91" s="267"/>
      <c r="O91" s="265"/>
      <c r="P91" s="265"/>
    </row>
    <row r="92" spans="3:16" ht="15.75" customHeight="1">
      <c r="C92" s="80">
        <v>42796</v>
      </c>
      <c r="D92" s="28">
        <v>4152.9</v>
      </c>
      <c r="F92" s="67"/>
      <c r="G92" s="266"/>
      <c r="H92" s="266"/>
      <c r="I92" s="117"/>
      <c r="J92" s="268"/>
      <c r="K92" s="268"/>
      <c r="L92" s="268"/>
      <c r="M92" s="268"/>
      <c r="N92" s="268"/>
      <c r="O92" s="265"/>
      <c r="P92" s="265"/>
    </row>
    <row r="93" spans="3:14" ht="15.75" customHeight="1">
      <c r="C93" s="80"/>
      <c r="F93" s="67"/>
      <c r="G93" s="272"/>
      <c r="H93" s="272"/>
      <c r="I93" s="123"/>
      <c r="J93" s="267"/>
      <c r="K93" s="267"/>
      <c r="L93" s="267"/>
      <c r="M93" s="267"/>
      <c r="N93" s="267"/>
    </row>
    <row r="94" spans="2:14" ht="18.75" customHeight="1">
      <c r="B94" s="273" t="s">
        <v>56</v>
      </c>
      <c r="C94" s="274"/>
      <c r="D94" s="132">
        <v>1</v>
      </c>
      <c r="E94" s="68"/>
      <c r="F94" s="124" t="s">
        <v>105</v>
      </c>
      <c r="G94" s="266"/>
      <c r="H94" s="266"/>
      <c r="I94" s="125"/>
      <c r="J94" s="267"/>
      <c r="K94" s="267"/>
      <c r="L94" s="267"/>
      <c r="M94" s="267"/>
      <c r="N94" s="267"/>
    </row>
    <row r="95" spans="6:13" ht="9.75" customHeight="1">
      <c r="F95" s="67"/>
      <c r="G95" s="266"/>
      <c r="H95" s="266"/>
      <c r="I95" s="67"/>
      <c r="J95" s="68"/>
      <c r="K95" s="68"/>
      <c r="L95" s="68"/>
      <c r="M95" s="68"/>
    </row>
    <row r="96" spans="2:13" ht="22.5" customHeight="1" hidden="1">
      <c r="B96" s="269" t="s">
        <v>59</v>
      </c>
      <c r="C96" s="270"/>
      <c r="D96" s="79">
        <v>0</v>
      </c>
      <c r="E96" s="50" t="s">
        <v>24</v>
      </c>
      <c r="F96" s="67"/>
      <c r="G96" s="266"/>
      <c r="H96" s="266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258</v>
      </c>
      <c r="F97" s="201">
        <f>F45+F48+F49</f>
        <v>312.76</v>
      </c>
      <c r="G97" s="67">
        <f>G45+G48+G49</f>
        <v>54.76</v>
      </c>
      <c r="H97" s="68"/>
      <c r="I97" s="68"/>
      <c r="N97" s="28">
        <f>N45+N48+N49</f>
        <v>86</v>
      </c>
      <c r="O97" s="200">
        <f>O45+O48+O49</f>
        <v>29.930000000000014</v>
      </c>
      <c r="P97" s="28">
        <f>P45+P48+P49</f>
        <v>-56.069999999999986</v>
      </c>
    </row>
    <row r="98" spans="4:16" ht="15" hidden="1">
      <c r="D98" s="77"/>
      <c r="I98" s="28"/>
      <c r="O98" s="271"/>
      <c r="P98" s="271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285525.7</v>
      </c>
      <c r="F99" s="227">
        <f>F9+F15+F17+F18+F19+F20+F39+F42+F56+F62+F63</f>
        <v>208194.62000000002</v>
      </c>
      <c r="G99" s="28">
        <f>F99-E99</f>
        <v>-77331.07999999999</v>
      </c>
      <c r="H99" s="228">
        <f>F99/E99</f>
        <v>0.72916245367755</v>
      </c>
      <c r="I99" s="28">
        <f>F99-D99</f>
        <v>-1090853.98</v>
      </c>
      <c r="J99" s="228">
        <f>F99/D99</f>
        <v>0.16026699847873283</v>
      </c>
      <c r="N99" s="28">
        <f>N9+N15+N17+N18+N19+N20+N39+N42+N44+N56+N62+N63</f>
        <v>89208.8</v>
      </c>
      <c r="O99" s="227">
        <f>O9+O15+O17+O18+O19+O20+O39+O42+O44+O56+O62+O63</f>
        <v>13347.00999999999</v>
      </c>
      <c r="P99" s="28">
        <f>O99-N99</f>
        <v>-75861.79000000001</v>
      </c>
      <c r="Q99" s="228">
        <f>O99/N99</f>
        <v>0.1496153966873222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12831.2</v>
      </c>
      <c r="F100" s="227">
        <f>F40+F41+F43+F45+F47+F48+F49+F50+F51+F57+F61+F44</f>
        <v>12061.189999999999</v>
      </c>
      <c r="G100" s="28">
        <f>G40+G41+G43+G45+G47+G48+G49+G50+G51+G57+G61+G44</f>
        <v>-770.0100000000002</v>
      </c>
      <c r="H100" s="228">
        <f>F100/E100</f>
        <v>0.9399892449653967</v>
      </c>
      <c r="I100" s="28">
        <f>I40+I41+I43+I45+I47+I48+I49+I50+I51+I57+I61+I44</f>
        <v>-46381.30999999999</v>
      </c>
      <c r="J100" s="228">
        <f>F100/D100</f>
        <v>0.20637703725884415</v>
      </c>
      <c r="K100" s="28">
        <f aca="true" t="shared" si="24" ref="K100:P100">K40+K41+K43+K45+K47+K48+K49+K50+K51+K57+K61+K44</f>
        <v>4835.679999999999</v>
      </c>
      <c r="L100" s="28">
        <f t="shared" si="24"/>
        <v>7225.509999999999</v>
      </c>
      <c r="M100" s="28">
        <f t="shared" si="24"/>
        <v>35.52030104149564</v>
      </c>
      <c r="N100" s="28">
        <f t="shared" si="24"/>
        <v>5139.6</v>
      </c>
      <c r="O100" s="227">
        <f t="shared" si="24"/>
        <v>3382.44</v>
      </c>
      <c r="P100" s="28">
        <f t="shared" si="24"/>
        <v>-1743.57</v>
      </c>
      <c r="Q100" s="228">
        <f>O100/N100</f>
        <v>0.6581134718655148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5" ref="E101:P101">SUM(E99:E100)</f>
        <v>298356.9</v>
      </c>
      <c r="F101" s="227">
        <f t="shared" si="25"/>
        <v>220255.81000000003</v>
      </c>
      <c r="G101" s="28">
        <f t="shared" si="25"/>
        <v>-78101.08999999998</v>
      </c>
      <c r="H101" s="228">
        <f>F101/E101</f>
        <v>0.7382293152931942</v>
      </c>
      <c r="I101" s="28">
        <f t="shared" si="25"/>
        <v>-1137235.29</v>
      </c>
      <c r="J101" s="228">
        <f>F101/D101</f>
        <v>0.1622521208426339</v>
      </c>
      <c r="K101" s="28">
        <f t="shared" si="25"/>
        <v>4835.679999999999</v>
      </c>
      <c r="L101" s="28">
        <f t="shared" si="25"/>
        <v>7225.509999999999</v>
      </c>
      <c r="M101" s="28">
        <f t="shared" si="25"/>
        <v>35.52030104149564</v>
      </c>
      <c r="N101" s="28">
        <f t="shared" si="25"/>
        <v>94348.40000000001</v>
      </c>
      <c r="O101" s="227">
        <f t="shared" si="25"/>
        <v>16729.44999999999</v>
      </c>
      <c r="P101" s="28">
        <f t="shared" si="25"/>
        <v>-77605.36000000002</v>
      </c>
      <c r="Q101" s="228">
        <f>O101/N101</f>
        <v>0.17731567254982583</v>
      </c>
    </row>
    <row r="102" spans="4:21" ht="15" hidden="1">
      <c r="D102" s="28">
        <f>D64-D101</f>
        <v>0</v>
      </c>
      <c r="E102" s="28">
        <f aca="true" t="shared" si="26" ref="E102:U102">E64-E101</f>
        <v>0</v>
      </c>
      <c r="F102" s="28">
        <f t="shared" si="26"/>
        <v>0</v>
      </c>
      <c r="G102" s="28">
        <f t="shared" si="26"/>
        <v>0</v>
      </c>
      <c r="H102" s="228"/>
      <c r="I102" s="28">
        <f t="shared" si="26"/>
        <v>0</v>
      </c>
      <c r="J102" s="228"/>
      <c r="K102" s="28">
        <f t="shared" si="26"/>
        <v>140507.58000000002</v>
      </c>
      <c r="L102" s="28">
        <f t="shared" si="26"/>
        <v>67687.04000000002</v>
      </c>
      <c r="M102" s="28">
        <f t="shared" si="26"/>
        <v>-34.004882920283826</v>
      </c>
      <c r="N102" s="28">
        <f t="shared" si="26"/>
        <v>-13.60000000000582</v>
      </c>
      <c r="O102" s="28">
        <f t="shared" si="26"/>
        <v>-0.00999999999839929</v>
      </c>
      <c r="P102" s="28">
        <f t="shared" si="26"/>
        <v>0</v>
      </c>
      <c r="Q102" s="28"/>
      <c r="R102" s="28">
        <f t="shared" si="26"/>
        <v>-18038.56000000001</v>
      </c>
      <c r="S102" s="28">
        <f t="shared" si="26"/>
        <v>0.4811734928670039</v>
      </c>
      <c r="T102" s="28">
        <f t="shared" si="26"/>
        <v>1059134.2000000002</v>
      </c>
      <c r="U102" s="28">
        <f t="shared" si="26"/>
        <v>0</v>
      </c>
    </row>
    <row r="103" ht="15">
      <c r="E103" s="4" t="s">
        <v>58</v>
      </c>
    </row>
    <row r="104" spans="2:5" ht="15" hidden="1">
      <c r="B104" s="236" t="s">
        <v>145</v>
      </c>
      <c r="E104" s="28">
        <f>E64-E9-E19-E26-E32</f>
        <v>18183.200000000026</v>
      </c>
    </row>
    <row r="105" spans="2:5" ht="15" hidden="1">
      <c r="B105" s="236" t="s">
        <v>146</v>
      </c>
      <c r="E105" s="28">
        <f>E85-E80-E73-E74</f>
        <v>4666.4000000000015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89" sqref="F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38" t="s">
        <v>139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85"/>
      <c r="S1" s="86"/>
    </row>
    <row r="2" spans="2:19" s="1" customFormat="1" ht="15.75" customHeight="1">
      <c r="B2" s="239"/>
      <c r="C2" s="239"/>
      <c r="D2" s="239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40"/>
      <c r="B3" s="242"/>
      <c r="C3" s="243" t="s">
        <v>0</v>
      </c>
      <c r="D3" s="244" t="s">
        <v>138</v>
      </c>
      <c r="E3" s="31"/>
      <c r="F3" s="245" t="s">
        <v>26</v>
      </c>
      <c r="G3" s="246"/>
      <c r="H3" s="246"/>
      <c r="I3" s="246"/>
      <c r="J3" s="247"/>
      <c r="K3" s="82"/>
      <c r="L3" s="82"/>
      <c r="M3" s="82"/>
      <c r="N3" s="248" t="s">
        <v>132</v>
      </c>
      <c r="O3" s="251" t="s">
        <v>136</v>
      </c>
      <c r="P3" s="251"/>
      <c r="Q3" s="251"/>
      <c r="R3" s="251"/>
      <c r="S3" s="251"/>
    </row>
    <row r="4" spans="1:19" ht="22.5" customHeight="1">
      <c r="A4" s="240"/>
      <c r="B4" s="242"/>
      <c r="C4" s="243"/>
      <c r="D4" s="244"/>
      <c r="E4" s="252" t="s">
        <v>137</v>
      </c>
      <c r="F4" s="254" t="s">
        <v>33</v>
      </c>
      <c r="G4" s="256" t="s">
        <v>133</v>
      </c>
      <c r="H4" s="249" t="s">
        <v>134</v>
      </c>
      <c r="I4" s="256" t="s">
        <v>125</v>
      </c>
      <c r="J4" s="249" t="s">
        <v>126</v>
      </c>
      <c r="K4" s="84" t="s">
        <v>128</v>
      </c>
      <c r="L4" s="202" t="s">
        <v>111</v>
      </c>
      <c r="M4" s="89" t="s">
        <v>63</v>
      </c>
      <c r="N4" s="249"/>
      <c r="O4" s="258" t="s">
        <v>140</v>
      </c>
      <c r="P4" s="256" t="s">
        <v>49</v>
      </c>
      <c r="Q4" s="260" t="s">
        <v>48</v>
      </c>
      <c r="R4" s="90" t="s">
        <v>64</v>
      </c>
      <c r="S4" s="91" t="s">
        <v>63</v>
      </c>
    </row>
    <row r="5" spans="1:19" ht="67.5" customHeight="1">
      <c r="A5" s="241"/>
      <c r="B5" s="242"/>
      <c r="C5" s="243"/>
      <c r="D5" s="244"/>
      <c r="E5" s="253"/>
      <c r="F5" s="255"/>
      <c r="G5" s="257"/>
      <c r="H5" s="250"/>
      <c r="I5" s="257"/>
      <c r="J5" s="250"/>
      <c r="K5" s="261" t="s">
        <v>135</v>
      </c>
      <c r="L5" s="262"/>
      <c r="M5" s="263"/>
      <c r="N5" s="250"/>
      <c r="O5" s="259"/>
      <c r="P5" s="257"/>
      <c r="Q5" s="260"/>
      <c r="R5" s="261" t="s">
        <v>102</v>
      </c>
      <c r="S5" s="26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F15/E15/100</f>
        <v>0.002727450980392157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F18/E18/100</f>
        <v>0.016922857142857142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285.33</v>
      </c>
      <c r="G59" s="160"/>
      <c r="H59" s="162"/>
      <c r="I59" s="163"/>
      <c r="J59" s="163"/>
      <c r="K59" s="164">
        <v>147.3</v>
      </c>
      <c r="L59" s="163">
        <f t="shared" si="18"/>
        <v>138.02999999999997</v>
      </c>
      <c r="M59" s="216">
        <f t="shared" si="17"/>
        <v>1.9370672097759671</v>
      </c>
      <c r="N59" s="162">
        <f>E59-'січень 17'!E59</f>
        <v>0</v>
      </c>
      <c r="O59" s="166">
        <f>F59-'січень 17'!F59</f>
        <v>118.11999999999998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264"/>
      <c r="H89" s="264"/>
      <c r="I89" s="264"/>
      <c r="J89" s="264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65"/>
      <c r="P90" s="265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66"/>
      <c r="H91" s="266"/>
      <c r="I91" s="117"/>
      <c r="J91" s="267"/>
      <c r="K91" s="267"/>
      <c r="L91" s="267"/>
      <c r="M91" s="267"/>
      <c r="N91" s="267"/>
      <c r="O91" s="265"/>
      <c r="P91" s="265"/>
    </row>
    <row r="92" spans="3:16" ht="15.75" customHeight="1">
      <c r="C92" s="80">
        <v>42790</v>
      </c>
      <c r="D92" s="28">
        <v>4206.9</v>
      </c>
      <c r="F92" s="67"/>
      <c r="G92" s="266"/>
      <c r="H92" s="266"/>
      <c r="I92" s="117"/>
      <c r="J92" s="268"/>
      <c r="K92" s="268"/>
      <c r="L92" s="268"/>
      <c r="M92" s="268"/>
      <c r="N92" s="268"/>
      <c r="O92" s="265"/>
      <c r="P92" s="265"/>
    </row>
    <row r="93" spans="3:14" ht="15.75" customHeight="1">
      <c r="C93" s="80"/>
      <c r="F93" s="67"/>
      <c r="G93" s="272"/>
      <c r="H93" s="272"/>
      <c r="I93" s="123"/>
      <c r="J93" s="267"/>
      <c r="K93" s="267"/>
      <c r="L93" s="267"/>
      <c r="M93" s="267"/>
      <c r="N93" s="267"/>
    </row>
    <row r="94" spans="2:14" ht="18.75" customHeight="1">
      <c r="B94" s="273" t="s">
        <v>56</v>
      </c>
      <c r="C94" s="274"/>
      <c r="D94" s="132">
        <v>7713.34596</v>
      </c>
      <c r="E94" s="68"/>
      <c r="F94" s="124" t="s">
        <v>105</v>
      </c>
      <c r="G94" s="266"/>
      <c r="H94" s="266"/>
      <c r="I94" s="125"/>
      <c r="J94" s="267"/>
      <c r="K94" s="267"/>
      <c r="L94" s="267"/>
      <c r="M94" s="267"/>
      <c r="N94" s="267"/>
    </row>
    <row r="95" spans="6:13" ht="9.75" customHeight="1">
      <c r="F95" s="67"/>
      <c r="G95" s="266"/>
      <c r="H95" s="266"/>
      <c r="I95" s="67"/>
      <c r="J95" s="68"/>
      <c r="K95" s="68"/>
      <c r="L95" s="68"/>
      <c r="M95" s="68"/>
    </row>
    <row r="96" spans="2:13" ht="22.5" customHeight="1" hidden="1">
      <c r="B96" s="269" t="s">
        <v>59</v>
      </c>
      <c r="C96" s="270"/>
      <c r="D96" s="79">
        <v>0</v>
      </c>
      <c r="E96" s="50" t="s">
        <v>24</v>
      </c>
      <c r="F96" s="67"/>
      <c r="G96" s="266"/>
      <c r="H96" s="266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71"/>
      <c r="P98" s="271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8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3" sqref="D10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38" t="s">
        <v>131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85"/>
      <c r="S1" s="86"/>
    </row>
    <row r="2" spans="2:19" s="1" customFormat="1" ht="15.75" customHeight="1">
      <c r="B2" s="239"/>
      <c r="C2" s="239"/>
      <c r="D2" s="239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40"/>
      <c r="B3" s="242"/>
      <c r="C3" s="243" t="s">
        <v>0</v>
      </c>
      <c r="D3" s="244" t="s">
        <v>121</v>
      </c>
      <c r="E3" s="31"/>
      <c r="F3" s="245" t="s">
        <v>26</v>
      </c>
      <c r="G3" s="246"/>
      <c r="H3" s="246"/>
      <c r="I3" s="246"/>
      <c r="J3" s="247"/>
      <c r="K3" s="82"/>
      <c r="L3" s="82"/>
      <c r="M3" s="82"/>
      <c r="N3" s="248" t="s">
        <v>119</v>
      </c>
      <c r="O3" s="251" t="s">
        <v>115</v>
      </c>
      <c r="P3" s="251"/>
      <c r="Q3" s="251"/>
      <c r="R3" s="251"/>
      <c r="S3" s="251"/>
    </row>
    <row r="4" spans="1:19" ht="22.5" customHeight="1">
      <c r="A4" s="240"/>
      <c r="B4" s="242"/>
      <c r="C4" s="243"/>
      <c r="D4" s="244"/>
      <c r="E4" s="252" t="s">
        <v>122</v>
      </c>
      <c r="F4" s="254" t="s">
        <v>33</v>
      </c>
      <c r="G4" s="256" t="s">
        <v>123</v>
      </c>
      <c r="H4" s="249" t="s">
        <v>124</v>
      </c>
      <c r="I4" s="256" t="s">
        <v>125</v>
      </c>
      <c r="J4" s="249" t="s">
        <v>126</v>
      </c>
      <c r="K4" s="84" t="s">
        <v>128</v>
      </c>
      <c r="L4" s="202" t="s">
        <v>111</v>
      </c>
      <c r="M4" s="89" t="s">
        <v>63</v>
      </c>
      <c r="N4" s="249"/>
      <c r="O4" s="258" t="s">
        <v>120</v>
      </c>
      <c r="P4" s="256" t="s">
        <v>49</v>
      </c>
      <c r="Q4" s="260" t="s">
        <v>48</v>
      </c>
      <c r="R4" s="90" t="s">
        <v>64</v>
      </c>
      <c r="S4" s="91" t="s">
        <v>63</v>
      </c>
    </row>
    <row r="5" spans="1:19" ht="67.5" customHeight="1">
      <c r="A5" s="241"/>
      <c r="B5" s="242"/>
      <c r="C5" s="243"/>
      <c r="D5" s="244"/>
      <c r="E5" s="253"/>
      <c r="F5" s="255"/>
      <c r="G5" s="257"/>
      <c r="H5" s="250"/>
      <c r="I5" s="257"/>
      <c r="J5" s="250"/>
      <c r="K5" s="261" t="s">
        <v>129</v>
      </c>
      <c r="L5" s="262"/>
      <c r="M5" s="263"/>
      <c r="N5" s="250"/>
      <c r="O5" s="259"/>
      <c r="P5" s="257"/>
      <c r="Q5" s="260"/>
      <c r="R5" s="261" t="s">
        <v>102</v>
      </c>
      <c r="S5" s="26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64"/>
      <c r="H89" s="264"/>
      <c r="I89" s="264"/>
      <c r="J89" s="264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65"/>
      <c r="P90" s="265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66"/>
      <c r="H91" s="266"/>
      <c r="I91" s="117"/>
      <c r="J91" s="267"/>
      <c r="K91" s="267"/>
      <c r="L91" s="267"/>
      <c r="M91" s="267"/>
      <c r="N91" s="267"/>
      <c r="O91" s="265"/>
      <c r="P91" s="265"/>
    </row>
    <row r="92" spans="3:16" ht="15.75" customHeight="1">
      <c r="C92" s="80">
        <v>42762</v>
      </c>
      <c r="D92" s="28">
        <v>8862.4</v>
      </c>
      <c r="F92" s="67"/>
      <c r="G92" s="266"/>
      <c r="H92" s="266"/>
      <c r="I92" s="117"/>
      <c r="J92" s="268"/>
      <c r="K92" s="268"/>
      <c r="L92" s="268"/>
      <c r="M92" s="268"/>
      <c r="N92" s="268"/>
      <c r="O92" s="265"/>
      <c r="P92" s="265"/>
    </row>
    <row r="93" spans="3:14" ht="15.75" customHeight="1">
      <c r="C93" s="80"/>
      <c r="F93" s="67"/>
      <c r="G93" s="272"/>
      <c r="H93" s="272"/>
      <c r="I93" s="123"/>
      <c r="J93" s="267"/>
      <c r="K93" s="267"/>
      <c r="L93" s="267"/>
      <c r="M93" s="267"/>
      <c r="N93" s="267"/>
    </row>
    <row r="94" spans="2:14" ht="18.75" customHeight="1">
      <c r="B94" s="273" t="s">
        <v>56</v>
      </c>
      <c r="C94" s="274"/>
      <c r="D94" s="132">
        <f>9505303.41/1000</f>
        <v>9505.30341</v>
      </c>
      <c r="E94" s="68"/>
      <c r="F94" s="124" t="s">
        <v>105</v>
      </c>
      <c r="G94" s="266"/>
      <c r="H94" s="266"/>
      <c r="I94" s="125"/>
      <c r="J94" s="267"/>
      <c r="K94" s="267"/>
      <c r="L94" s="267"/>
      <c r="M94" s="267"/>
      <c r="N94" s="267"/>
    </row>
    <row r="95" spans="6:13" ht="9.75" customHeight="1">
      <c r="F95" s="67"/>
      <c r="G95" s="266"/>
      <c r="H95" s="266"/>
      <c r="I95" s="67"/>
      <c r="J95" s="68"/>
      <c r="K95" s="68"/>
      <c r="L95" s="68"/>
      <c r="M95" s="68"/>
    </row>
    <row r="96" spans="2:13" ht="22.5" customHeight="1" hidden="1">
      <c r="B96" s="269" t="s">
        <v>59</v>
      </c>
      <c r="C96" s="270"/>
      <c r="D96" s="79">
        <v>0</v>
      </c>
      <c r="E96" s="50" t="s">
        <v>24</v>
      </c>
      <c r="F96" s="67"/>
      <c r="G96" s="266"/>
      <c r="H96" s="266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71"/>
      <c r="P98" s="271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2017-03-07T08:36:30Z</cp:lastPrinted>
  <dcterms:created xsi:type="dcterms:W3CDTF">2003-07-28T11:27:56Z</dcterms:created>
  <dcterms:modified xsi:type="dcterms:W3CDTF">2017-03-07T08:45:27Z</dcterms:modified>
  <cp:category/>
  <cp:version/>
  <cp:contentType/>
  <cp:contentStatus/>
</cp:coreProperties>
</file>